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640" windowHeight="9000" activeTab="0"/>
  </bookViews>
  <sheets>
    <sheet name="Для Деп.МБ" sheetId="1" r:id="rId1"/>
  </sheets>
  <definedNames>
    <definedName name="_xlnm.Print_Titles" localSheetId="0">'Для Деп.МБ'!$8:$11</definedName>
    <definedName name="_xlnm.Print_Area" localSheetId="0">'Для Деп.МБ'!$E$1:$U$955</definedName>
  </definedNames>
  <calcPr fullCalcOnLoad="1"/>
</workbook>
</file>

<file path=xl/comments1.xml><?xml version="1.0" encoding="utf-8"?>
<comments xmlns="http://schemas.openxmlformats.org/spreadsheetml/2006/main">
  <authors>
    <author>Користувач Windows</author>
  </authors>
  <commentList>
    <comment ref="U951" authorId="0">
      <text>
        <r>
          <rPr>
            <b/>
            <sz val="9"/>
            <rFont val="Tahoma"/>
            <family val="0"/>
          </rPr>
          <t>Користувач Windows:</t>
        </r>
        <r>
          <rPr>
            <sz val="9"/>
            <rFont val="Tahoma"/>
            <family val="0"/>
          </rPr>
          <t xml:space="preserve">
-0,1
</t>
        </r>
      </text>
    </comment>
  </commentList>
</comments>
</file>

<file path=xl/sharedStrings.xml><?xml version="1.0" encoding="utf-8"?>
<sst xmlns="http://schemas.openxmlformats.org/spreadsheetml/2006/main" count="3405" uniqueCount="1729">
  <si>
    <t xml:space="preserve">              Розрахунок медичної субвенції на 2017 рік</t>
  </si>
  <si>
    <t>Vzu =</t>
  </si>
  <si>
    <t>КОД</t>
  </si>
  <si>
    <t>шифр</t>
  </si>
  <si>
    <t>Код</t>
  </si>
  <si>
    <t>Назва адміністративно-територіальних одиниць</t>
  </si>
  <si>
    <r>
      <t xml:space="preserve">Наявне населення на 01.01.2016  </t>
    </r>
    <r>
      <rPr>
        <b/>
        <sz val="10"/>
        <rFont val="Times New Roman CYR"/>
        <family val="0"/>
      </rPr>
      <t>Ni</t>
    </r>
  </si>
  <si>
    <t>в тому числі :</t>
  </si>
  <si>
    <r>
      <t xml:space="preserve">Коефіцієнт рівня надання мед.допомоги населенню закладами загальнодерж. значення  </t>
    </r>
    <r>
      <rPr>
        <b/>
        <sz val="10"/>
        <rFont val="Times New Roman CYR"/>
        <family val="0"/>
      </rPr>
      <t>Kz5</t>
    </r>
  </si>
  <si>
    <r>
      <t xml:space="preserve">Фінансовий норматив бюджетної забезпеченості на охорону здоров'я </t>
    </r>
    <r>
      <rPr>
        <b/>
        <sz val="10"/>
        <rFont val="Times New Roman CYR"/>
        <family val="0"/>
      </rPr>
      <t xml:space="preserve"> Hzob(АРК), Hzm(r)i</t>
    </r>
  </si>
  <si>
    <r>
      <t xml:space="preserve">Коефіцієнт диференціації рівня витрат на 1 жителя в містах та районах     </t>
    </r>
    <r>
      <rPr>
        <b/>
        <sz val="10"/>
        <rFont val="Times New Roman CYR"/>
        <family val="0"/>
      </rPr>
      <t>Кz3</t>
    </r>
  </si>
  <si>
    <r>
      <t xml:space="preserve">Коефіцієнт відносної вартості витрат на надання медичних послуг в залежності від вікової структури населення даної адміністративно-територіальної одиниці                </t>
    </r>
    <r>
      <rPr>
        <b/>
        <sz val="10"/>
        <rFont val="Times New Roman CYR"/>
        <family val="0"/>
      </rPr>
      <t xml:space="preserve"> Кzі2</t>
    </r>
  </si>
  <si>
    <t>Прогноз видатків на 2017 рік за методикою</t>
  </si>
  <si>
    <t>Розрахунковий обсяг видатків на 2017 рік, визначений з урахуванням норм Закону України "Про екстрену медичну допомогу"</t>
  </si>
  <si>
    <r>
      <t xml:space="preserve">Витрати, пов'язані із статусом гірських населенних пунктів      </t>
    </r>
    <r>
      <rPr>
        <b/>
        <sz val="10"/>
        <rFont val="Times New Roman CYR"/>
        <family val="0"/>
      </rPr>
      <t>Vzgi</t>
    </r>
  </si>
  <si>
    <r>
      <t xml:space="preserve">Цільові видатки  для придбання лікарських засобів, виробів медичного призначення, лабораторних реактивів для стаціонарних спеціалізованих закладів охорони здоров’я, що надають медичну допомогу громадянам, які постраждали внаслідок Чорнобильської катастрофи, в тому числі для лікування онкологічних захворювань, </t>
    </r>
    <r>
      <rPr>
        <b/>
        <sz val="10"/>
        <rFont val="Times New Roman CYR"/>
        <family val="0"/>
      </rPr>
      <t xml:space="preserve">S cheru </t>
    </r>
  </si>
  <si>
    <r>
      <t xml:space="preserve">Цільові видатки на  лікування хворих на цукровий та нецукровий діабет, </t>
    </r>
    <r>
      <rPr>
        <b/>
        <sz val="10"/>
        <rFont val="Times New Roman CYR"/>
        <family val="0"/>
      </rPr>
      <t>Szi</t>
    </r>
  </si>
  <si>
    <r>
      <t xml:space="preserve">Цільові видатки на  лікування хворих на хронічну ниркову недостатність методом гемодіалізу,  </t>
    </r>
    <r>
      <rPr>
        <b/>
        <sz val="10"/>
        <rFont val="Times New Roman CYR"/>
        <family val="0"/>
      </rPr>
      <t xml:space="preserve"> S nu</t>
    </r>
  </si>
  <si>
    <r>
      <t xml:space="preserve">Цільові видатки на виплату щомісячної державної допомоги ВІЛ-інфікованим дітям, </t>
    </r>
    <r>
      <rPr>
        <b/>
        <sz val="10"/>
        <rFont val="Times New Roman CYR"/>
        <family val="0"/>
      </rPr>
      <t xml:space="preserve">S aidsu </t>
    </r>
  </si>
  <si>
    <r>
      <t xml:space="preserve">Обсяг витрат, що передається за місцем обслугову-вання     </t>
    </r>
    <r>
      <rPr>
        <b/>
        <sz val="10"/>
        <rFont val="Times New Roman CYR"/>
        <family val="0"/>
      </rPr>
      <t xml:space="preserve"> Vzyi</t>
    </r>
  </si>
  <si>
    <t>Обсяг витрат на охорону здоров'я по проекту на 2017 рік                                                                 Vzi (обласні),  Vzm(r)i (міста, райони)</t>
  </si>
  <si>
    <t>Областей</t>
  </si>
  <si>
    <t>Міст і районів</t>
  </si>
  <si>
    <r>
      <t xml:space="preserve">населення, в яких відсутня мережа закладів ОЗ, що фінансуються за рахунок коштів місцевих бюджетів         </t>
    </r>
    <r>
      <rPr>
        <b/>
        <sz val="10"/>
        <rFont val="Times New Roman CYR"/>
        <family val="0"/>
      </rPr>
      <t xml:space="preserve">Ndm(r)i </t>
    </r>
    <r>
      <rPr>
        <sz val="10"/>
        <rFont val="Times New Roman CYR"/>
        <family val="0"/>
      </rPr>
      <t xml:space="preserve"> </t>
    </r>
  </si>
  <si>
    <r>
      <t xml:space="preserve">населення, яке обслу- говується закладами загально-держ. значення           </t>
    </r>
    <r>
      <rPr>
        <b/>
        <sz val="10"/>
        <rFont val="Times New Roman CYR"/>
        <family val="0"/>
      </rPr>
      <t xml:space="preserve">Nwm(r)i </t>
    </r>
    <r>
      <rPr>
        <sz val="10"/>
        <rFont val="Times New Roman CYR"/>
        <family val="0"/>
      </rPr>
      <t xml:space="preserve"> </t>
    </r>
  </si>
  <si>
    <t>O2</t>
  </si>
  <si>
    <t>-</t>
  </si>
  <si>
    <t>v</t>
  </si>
  <si>
    <t>Зведений бюджет Вінницької області</t>
  </si>
  <si>
    <t>о</t>
  </si>
  <si>
    <t>02100000000</t>
  </si>
  <si>
    <t>Обласний бюджет</t>
  </si>
  <si>
    <t>О2</t>
  </si>
  <si>
    <t>vm</t>
  </si>
  <si>
    <t xml:space="preserve">Разом по бюджетах міст </t>
  </si>
  <si>
    <t>О1</t>
  </si>
  <si>
    <t>m</t>
  </si>
  <si>
    <t>02201100000</t>
  </si>
  <si>
    <t>м. Вінниця</t>
  </si>
  <si>
    <t>02202100000</t>
  </si>
  <si>
    <t>м. Жмеринка</t>
  </si>
  <si>
    <t>02203100000</t>
  </si>
  <si>
    <t>м. Козятин</t>
  </si>
  <si>
    <t>02204100000</t>
  </si>
  <si>
    <t>м. Ладижин</t>
  </si>
  <si>
    <t>02205100000</t>
  </si>
  <si>
    <t>м. Могилів-Подільський</t>
  </si>
  <si>
    <t>02206100000</t>
  </si>
  <si>
    <t>м. Хмільник</t>
  </si>
  <si>
    <t>vr</t>
  </si>
  <si>
    <t>Разом по бюджетах районів</t>
  </si>
  <si>
    <t>О5</t>
  </si>
  <si>
    <t>r</t>
  </si>
  <si>
    <t>02301200000</t>
  </si>
  <si>
    <t>Барський р-н</t>
  </si>
  <si>
    <t>О6</t>
  </si>
  <si>
    <t>02302200000</t>
  </si>
  <si>
    <t>Бершадський р-н</t>
  </si>
  <si>
    <t>О7</t>
  </si>
  <si>
    <t>02303200000</t>
  </si>
  <si>
    <t>Вінницький р-н</t>
  </si>
  <si>
    <t>О8</t>
  </si>
  <si>
    <t>02304200000</t>
  </si>
  <si>
    <t>Гайсинський р-н</t>
  </si>
  <si>
    <t>О9</t>
  </si>
  <si>
    <t>02305200000</t>
  </si>
  <si>
    <t>Жмеринський р-н</t>
  </si>
  <si>
    <t>02306200000</t>
  </si>
  <si>
    <t>Іллінецький р-н</t>
  </si>
  <si>
    <t>02307200000</t>
  </si>
  <si>
    <t>Калинівський р-н</t>
  </si>
  <si>
    <t>02308200000</t>
  </si>
  <si>
    <t>Козятинський р-н</t>
  </si>
  <si>
    <t>02309200000</t>
  </si>
  <si>
    <t>Крижопільський р-н</t>
  </si>
  <si>
    <t>02310200000</t>
  </si>
  <si>
    <t>Липовецький р-н</t>
  </si>
  <si>
    <t>02311200000</t>
  </si>
  <si>
    <t>Літинський р-н</t>
  </si>
  <si>
    <t>02312200000</t>
  </si>
  <si>
    <t>Могилів-Подільський р-н</t>
  </si>
  <si>
    <t>02313200000</t>
  </si>
  <si>
    <t>Мурованокуриловецький р-н</t>
  </si>
  <si>
    <t>02314200000</t>
  </si>
  <si>
    <t>Немирівський р-н</t>
  </si>
  <si>
    <t>02315200000</t>
  </si>
  <si>
    <t>Оратівський р-н</t>
  </si>
  <si>
    <t>02316200000</t>
  </si>
  <si>
    <t>Піщанський р-н</t>
  </si>
  <si>
    <t>02317200000</t>
  </si>
  <si>
    <t>Погребищенський р-н</t>
  </si>
  <si>
    <t>02318200000</t>
  </si>
  <si>
    <t>Теплицький р-н</t>
  </si>
  <si>
    <t>02319200000</t>
  </si>
  <si>
    <t>Тиврівський р-н</t>
  </si>
  <si>
    <t>02320200000</t>
  </si>
  <si>
    <t>Томашпільський р-н</t>
  </si>
  <si>
    <t>02321200000</t>
  </si>
  <si>
    <t>Тростянецький р-н</t>
  </si>
  <si>
    <t>02322200000</t>
  </si>
  <si>
    <t>Тульчинський р-н</t>
  </si>
  <si>
    <t>02323200000</t>
  </si>
  <si>
    <t>Хмільницький р-н</t>
  </si>
  <si>
    <t>02324200000</t>
  </si>
  <si>
    <t>Чернівецький р-н</t>
  </si>
  <si>
    <t>02325200000</t>
  </si>
  <si>
    <t>Чечельницький р-н</t>
  </si>
  <si>
    <t>02326200000</t>
  </si>
  <si>
    <t>Шаргородський р-н</t>
  </si>
  <si>
    <t>02327200000</t>
  </si>
  <si>
    <t>Ямпільський р-н</t>
  </si>
  <si>
    <t>vg</t>
  </si>
  <si>
    <t>Разом по бюджетах об'єднаних громад</t>
  </si>
  <si>
    <t>g</t>
  </si>
  <si>
    <t>02501000000</t>
  </si>
  <si>
    <t>отг. Калинівська (Калинівський район)</t>
  </si>
  <si>
    <t>02502000000</t>
  </si>
  <si>
    <t>отг. Студенянська ( Піщанський район)</t>
  </si>
  <si>
    <t>О3</t>
  </si>
  <si>
    <t>Зведений бюджет Волинської області</t>
  </si>
  <si>
    <t>03100000000</t>
  </si>
  <si>
    <t>03201100000</t>
  </si>
  <si>
    <t>м. Луцьк</t>
  </si>
  <si>
    <t>03202100000</t>
  </si>
  <si>
    <t>м. Володимир-Волинський</t>
  </si>
  <si>
    <t>03203100000</t>
  </si>
  <si>
    <t>м. Ковель</t>
  </si>
  <si>
    <t>О4</t>
  </si>
  <si>
    <t>03204100000</t>
  </si>
  <si>
    <t>м. Нововолинськ</t>
  </si>
  <si>
    <t>03301200000</t>
  </si>
  <si>
    <t>Володимир-Волинський р-н</t>
  </si>
  <si>
    <t>03302200000</t>
  </si>
  <si>
    <t>Горохівський р-н</t>
  </si>
  <si>
    <t>03303200000</t>
  </si>
  <si>
    <t>Іваничівський р-н</t>
  </si>
  <si>
    <t>03304200000</t>
  </si>
  <si>
    <t>Камінь-Каширський р-н</t>
  </si>
  <si>
    <t>03305200000</t>
  </si>
  <si>
    <t>Ківерцівський р-н</t>
  </si>
  <si>
    <t>03306200000</t>
  </si>
  <si>
    <t>Ковельський р-н</t>
  </si>
  <si>
    <t>03307200000</t>
  </si>
  <si>
    <t>Локачинський р-н</t>
  </si>
  <si>
    <t>03308200000</t>
  </si>
  <si>
    <t>Луцький р-н</t>
  </si>
  <si>
    <t>03309200000</t>
  </si>
  <si>
    <t>Любешівський р-н</t>
  </si>
  <si>
    <t>03310200000</t>
  </si>
  <si>
    <t>Любомльський р-н</t>
  </si>
  <si>
    <t>03311200000</t>
  </si>
  <si>
    <t>Маневицький р-н</t>
  </si>
  <si>
    <t>03312200000</t>
  </si>
  <si>
    <t>Ратнівський р-н</t>
  </si>
  <si>
    <t>03313200000</t>
  </si>
  <si>
    <t>Рожищенський р-н</t>
  </si>
  <si>
    <t>03314200000</t>
  </si>
  <si>
    <t>Старовижівський р-н</t>
  </si>
  <si>
    <t>03315200000</t>
  </si>
  <si>
    <t>Турійський р-н</t>
  </si>
  <si>
    <t>03316200000</t>
  </si>
  <si>
    <t>Шацький р-н</t>
  </si>
  <si>
    <t>03501000000</t>
  </si>
  <si>
    <t>отг. Велицька (Ковельський район)</t>
  </si>
  <si>
    <t>03502000000</t>
  </si>
  <si>
    <t>отг. Голобська (Ковельський район)</t>
  </si>
  <si>
    <t>03503000000</t>
  </si>
  <si>
    <t>отг. Зимнівська (Володимир-Волинський район)</t>
  </si>
  <si>
    <t>03504000000</t>
  </si>
  <si>
    <t>отг. Смолигівська (Луцький район)</t>
  </si>
  <si>
    <t>03505000000</t>
  </si>
  <si>
    <t>отг. Устилузька (Володимир-Волинський район)</t>
  </si>
  <si>
    <t>03506000000</t>
  </si>
  <si>
    <t>отг. Люблинецька (Ковельський район)</t>
  </si>
  <si>
    <t>отг. Шацька (Шацький район)</t>
  </si>
  <si>
    <t>Зведений бюджет Дніпропетровської області</t>
  </si>
  <si>
    <t>04100000000</t>
  </si>
  <si>
    <t>04201100000</t>
  </si>
  <si>
    <t>м. Дніпро (м. Днiпропетровськ)</t>
  </si>
  <si>
    <t>04202100000</t>
  </si>
  <si>
    <t>м. Вiльногiрськ</t>
  </si>
  <si>
    <t>04203100000</t>
  </si>
  <si>
    <r>
      <t xml:space="preserve">м. Кам'янське </t>
    </r>
    <r>
      <rPr>
        <sz val="10"/>
        <color indexed="10"/>
        <rFont val="Times New Roman"/>
        <family val="1"/>
      </rPr>
      <t>(м. Днiпродзержинськ)</t>
    </r>
  </si>
  <si>
    <t>04204100000</t>
  </si>
  <si>
    <t>м. Жовтi Води</t>
  </si>
  <si>
    <t>04205100000</t>
  </si>
  <si>
    <t>м. Кривий Рiг</t>
  </si>
  <si>
    <t>04206100000</t>
  </si>
  <si>
    <t>м. Марганець</t>
  </si>
  <si>
    <t>04207100000</t>
  </si>
  <si>
    <t>м. Нiкополь</t>
  </si>
  <si>
    <t>04208100000</t>
  </si>
  <si>
    <t>м. Новомосковськ</t>
  </si>
  <si>
    <t>04209100000</t>
  </si>
  <si>
    <r>
      <t xml:space="preserve">м. Покров </t>
    </r>
    <r>
      <rPr>
        <sz val="10"/>
        <color indexed="10"/>
        <rFont val="Times New Roman"/>
        <family val="1"/>
      </rPr>
      <t>(м. Орджонiкiдзе)</t>
    </r>
  </si>
  <si>
    <t>04210100000</t>
  </si>
  <si>
    <t>м. Павлоград</t>
  </si>
  <si>
    <t>04211100000</t>
  </si>
  <si>
    <t>м. Першотравенськ</t>
  </si>
  <si>
    <t>04212100000</t>
  </si>
  <si>
    <t>м. Синельникове</t>
  </si>
  <si>
    <t>04213100000</t>
  </si>
  <si>
    <t>м. Тернівка</t>
  </si>
  <si>
    <t>04301200000</t>
  </si>
  <si>
    <t>Апостолiвський р-н</t>
  </si>
  <si>
    <t>04302200000</t>
  </si>
  <si>
    <t>Василькiвский р-н</t>
  </si>
  <si>
    <t>04303200000</t>
  </si>
  <si>
    <t>Верхньоднiпровський р-н</t>
  </si>
  <si>
    <t>04304200000</t>
  </si>
  <si>
    <r>
      <t xml:space="preserve">Дніпровський р-н </t>
    </r>
    <r>
      <rPr>
        <sz val="10"/>
        <color indexed="10"/>
        <rFont val="Times New Roman"/>
        <family val="1"/>
      </rPr>
      <t>(Днiпропетровський)</t>
    </r>
  </si>
  <si>
    <t>04305200000</t>
  </si>
  <si>
    <t>Криворiзький р-н</t>
  </si>
  <si>
    <t>04306200000</t>
  </si>
  <si>
    <t>Криничанський р-н</t>
  </si>
  <si>
    <t>04307200000</t>
  </si>
  <si>
    <t>Магдалинiвський р-н</t>
  </si>
  <si>
    <t>04308200000</t>
  </si>
  <si>
    <t>Межiвський р-н</t>
  </si>
  <si>
    <t>04309200000</t>
  </si>
  <si>
    <t>Нiкопольський р-н</t>
  </si>
  <si>
    <t>04310200000</t>
  </si>
  <si>
    <t>Новомосковський р-н</t>
  </si>
  <si>
    <t>04311200000</t>
  </si>
  <si>
    <t>Павлоградський р-н</t>
  </si>
  <si>
    <t>04312200000</t>
  </si>
  <si>
    <t>Петрикiвський р-н</t>
  </si>
  <si>
    <t>04313200000</t>
  </si>
  <si>
    <t>Петропавлiвський р-н</t>
  </si>
  <si>
    <t>04314200000</t>
  </si>
  <si>
    <t>Покровський р-н</t>
  </si>
  <si>
    <t>04315200000</t>
  </si>
  <si>
    <t>П'ятихатський р-н</t>
  </si>
  <si>
    <t>04316200000</t>
  </si>
  <si>
    <t>Синельникiвський р-н</t>
  </si>
  <si>
    <t>04317200000</t>
  </si>
  <si>
    <t>Солонянський р-н</t>
  </si>
  <si>
    <t>04318200000</t>
  </si>
  <si>
    <t>Софiївський р-н</t>
  </si>
  <si>
    <t>04319200000</t>
  </si>
  <si>
    <t>Томакiвський р-н</t>
  </si>
  <si>
    <t>04320200000</t>
  </si>
  <si>
    <t>Царичанський р-н</t>
  </si>
  <si>
    <t>04321200000</t>
  </si>
  <si>
    <t>Широкiвський р-н</t>
  </si>
  <si>
    <t>04322200000</t>
  </si>
  <si>
    <t>Юр'ївський р-н</t>
  </si>
  <si>
    <t>04501000000</t>
  </si>
  <si>
    <t>отг. Апостолівська (Апостолівський район)</t>
  </si>
  <si>
    <t>04502000000</t>
  </si>
  <si>
    <t>отг. Богданівська (Павлоградський район)</t>
  </si>
  <si>
    <t>04503000000</t>
  </si>
  <si>
    <t>отг. Вербківська (Павлоградський район)</t>
  </si>
  <si>
    <t>04504000000</t>
  </si>
  <si>
    <t>отг. Єлізарівська (Солонянський район)</t>
  </si>
  <si>
    <t>04505000000</t>
  </si>
  <si>
    <t>отг. Жовтнева (Софіївський район)</t>
  </si>
  <si>
    <t>04506000000</t>
  </si>
  <si>
    <t>отг. Зеленодольська (Апостолівський район)</t>
  </si>
  <si>
    <t>04507000000</t>
  </si>
  <si>
    <r>
      <t>отг. Грушівська (</t>
    </r>
    <r>
      <rPr>
        <sz val="10"/>
        <color indexed="10"/>
        <rFont val="Times New Roman"/>
        <family val="1"/>
      </rPr>
      <t>Ленінська)</t>
    </r>
    <r>
      <rPr>
        <sz val="10"/>
        <rFont val="Times New Roman"/>
        <family val="1"/>
      </rPr>
      <t xml:space="preserve"> (Апостолівський район)</t>
    </r>
  </si>
  <si>
    <t>04508000000</t>
  </si>
  <si>
    <t>отг. Ляшківська (Царичанський район)</t>
  </si>
  <si>
    <t>04509000000</t>
  </si>
  <si>
    <t>отг. Могилівська (Царичанський район)</t>
  </si>
  <si>
    <t>04510000000</t>
  </si>
  <si>
    <t>отг. Нивотрудівська (Апостолівський район)</t>
  </si>
  <si>
    <t>04511000000</t>
  </si>
  <si>
    <r>
      <t xml:space="preserve">отг. Новоолександрівська (Дніпровський район </t>
    </r>
    <r>
      <rPr>
        <sz val="10"/>
        <color indexed="10"/>
        <rFont val="Times New Roman"/>
        <family val="1"/>
      </rPr>
      <t>(Дніпропетровський)</t>
    </r>
    <r>
      <rPr>
        <sz val="10"/>
        <rFont val="Times New Roman"/>
        <family val="1"/>
      </rPr>
      <t>)</t>
    </r>
  </si>
  <si>
    <t>04512000000</t>
  </si>
  <si>
    <t>отг. Новопокровська (Солонянський район)</t>
  </si>
  <si>
    <t>04513000000</t>
  </si>
  <si>
    <t>отг. Солонянська (Солонянський район)</t>
  </si>
  <si>
    <t>04514000000</t>
  </si>
  <si>
    <r>
      <t xml:space="preserve">отг. Сурсько-Литовська (Дніпровський район </t>
    </r>
    <r>
      <rPr>
        <sz val="10"/>
        <color indexed="10"/>
        <rFont val="Times New Roman"/>
        <family val="1"/>
      </rPr>
      <t>(Дніпропетровський)</t>
    </r>
    <r>
      <rPr>
        <sz val="10"/>
        <rFont val="Times New Roman"/>
        <family val="1"/>
      </rPr>
      <t>)</t>
    </r>
  </si>
  <si>
    <t>04515000000</t>
  </si>
  <si>
    <r>
      <t xml:space="preserve">отг.Слобожанська (Ювілейна) (Дніпровський район </t>
    </r>
    <r>
      <rPr>
        <sz val="10"/>
        <color indexed="10"/>
        <rFont val="Times New Roman"/>
        <family val="1"/>
      </rPr>
      <t>(Дніпропетровський)</t>
    </r>
    <r>
      <rPr>
        <sz val="10"/>
        <rFont val="Times New Roman"/>
        <family val="1"/>
      </rPr>
      <t>)</t>
    </r>
  </si>
  <si>
    <t>Зведений бюджет Донецької області</t>
  </si>
  <si>
    <t>05100000000</t>
  </si>
  <si>
    <t>05201100000</t>
  </si>
  <si>
    <t>м. Донецьк</t>
  </si>
  <si>
    <t>05202100000</t>
  </si>
  <si>
    <t>м. Авдіївка</t>
  </si>
  <si>
    <t>05203100000</t>
  </si>
  <si>
    <r>
      <t xml:space="preserve">м. Бахмут </t>
    </r>
    <r>
      <rPr>
        <sz val="10"/>
        <color indexed="10"/>
        <rFont val="Times New Roman"/>
        <family val="1"/>
      </rPr>
      <t>(м. Артемівськ)</t>
    </r>
  </si>
  <si>
    <t>05204100000</t>
  </si>
  <si>
    <t>м. Вугледар</t>
  </si>
  <si>
    <t>05205100000</t>
  </si>
  <si>
    <t>м. Горлівка</t>
  </si>
  <si>
    <t>05206100000</t>
  </si>
  <si>
    <t>м. Дебальцеве</t>
  </si>
  <si>
    <t>05207100000</t>
  </si>
  <si>
    <r>
      <t xml:space="preserve">м. Торецьк </t>
    </r>
    <r>
      <rPr>
        <sz val="10"/>
        <color indexed="10"/>
        <rFont val="Times New Roman"/>
        <family val="1"/>
      </rPr>
      <t>(м. Дзержинськ)</t>
    </r>
  </si>
  <si>
    <t>05208100000</t>
  </si>
  <si>
    <r>
      <t xml:space="preserve">м. Мирноград </t>
    </r>
    <r>
      <rPr>
        <sz val="10"/>
        <color indexed="10"/>
        <rFont val="Times New Roman"/>
        <family val="1"/>
      </rPr>
      <t>(м. Димитров)</t>
    </r>
  </si>
  <si>
    <t>05209100000</t>
  </si>
  <si>
    <t>м. Добропілля</t>
  </si>
  <si>
    <t>05210100000</t>
  </si>
  <si>
    <t>м. Докучаєвськ</t>
  </si>
  <si>
    <t>05211100000</t>
  </si>
  <si>
    <t>м. Дружківка</t>
  </si>
  <si>
    <t>05212100000</t>
  </si>
  <si>
    <t>м. Єнакієве</t>
  </si>
  <si>
    <t>05213100000</t>
  </si>
  <si>
    <t>м. Жданівка</t>
  </si>
  <si>
    <t>05214100000</t>
  </si>
  <si>
    <r>
      <t xml:space="preserve">м. Хрестівка </t>
    </r>
    <r>
      <rPr>
        <sz val="10"/>
        <color indexed="10"/>
        <rFont val="Times New Roman"/>
        <family val="1"/>
      </rPr>
      <t>(м. Кіровське)</t>
    </r>
  </si>
  <si>
    <t>05215100000</t>
  </si>
  <si>
    <t>м. Костянтинівка</t>
  </si>
  <si>
    <t>05216100000</t>
  </si>
  <si>
    <t>м. Краматорськ</t>
  </si>
  <si>
    <t>05217100000</t>
  </si>
  <si>
    <r>
      <t xml:space="preserve">м.Лиман </t>
    </r>
    <r>
      <rPr>
        <sz val="10"/>
        <color indexed="10"/>
        <rFont val="Times New Roman"/>
        <family val="1"/>
      </rPr>
      <t>(м. Красний Лиман)</t>
    </r>
  </si>
  <si>
    <t>05218100000</t>
  </si>
  <si>
    <r>
      <t xml:space="preserve">м. Покровськ </t>
    </r>
    <r>
      <rPr>
        <sz val="10"/>
        <color indexed="10"/>
        <rFont val="Times New Roman"/>
        <family val="1"/>
      </rPr>
      <t>(м. Красноармійськ)</t>
    </r>
  </si>
  <si>
    <t>05219100000</t>
  </si>
  <si>
    <t>м. Макіївка</t>
  </si>
  <si>
    <t>05220100000</t>
  </si>
  <si>
    <t>м. Маріуполь</t>
  </si>
  <si>
    <t>05221100000</t>
  </si>
  <si>
    <t>м. Новогродівка</t>
  </si>
  <si>
    <t>05222100000</t>
  </si>
  <si>
    <t>м. Селидове</t>
  </si>
  <si>
    <t>05223100000</t>
  </si>
  <si>
    <t>м. Слов'янськ</t>
  </si>
  <si>
    <t>05224100000</t>
  </si>
  <si>
    <t>м. Сніжне</t>
  </si>
  <si>
    <t>05225100000</t>
  </si>
  <si>
    <r>
      <t xml:space="preserve">м. Чистякове </t>
    </r>
    <r>
      <rPr>
        <sz val="10"/>
        <color indexed="10"/>
        <rFont val="Times New Roman"/>
        <family val="1"/>
      </rPr>
      <t>(м. Торез)</t>
    </r>
  </si>
  <si>
    <t>05226100000</t>
  </si>
  <si>
    <t>м. Харцизьк</t>
  </si>
  <si>
    <t>05227100000</t>
  </si>
  <si>
    <t>м. Шахтарськ</t>
  </si>
  <si>
    <t>05228100000</t>
  </si>
  <si>
    <t>м. Ясинувата</t>
  </si>
  <si>
    <t>05301200000</t>
  </si>
  <si>
    <t>Амвpосіївський р-н</t>
  </si>
  <si>
    <t>05302200000</t>
  </si>
  <si>
    <r>
      <t xml:space="preserve">Бахмутський р-н </t>
    </r>
    <r>
      <rPr>
        <sz val="10"/>
        <color indexed="10"/>
        <rFont val="Times New Roman"/>
        <family val="1"/>
      </rPr>
      <t xml:space="preserve">(Аpтемівський) </t>
    </r>
  </si>
  <si>
    <t>05303200000</t>
  </si>
  <si>
    <t>Великоновосілківський р-н</t>
  </si>
  <si>
    <t>05304200000</t>
  </si>
  <si>
    <t>Волновахський р-н</t>
  </si>
  <si>
    <t>05305200000</t>
  </si>
  <si>
    <r>
      <t xml:space="preserve">Нікольський р-н </t>
    </r>
    <r>
      <rPr>
        <sz val="10"/>
        <color indexed="10"/>
        <rFont val="Times New Roman"/>
        <family val="1"/>
      </rPr>
      <t>(Володаpський)</t>
    </r>
  </si>
  <si>
    <t>05306200000</t>
  </si>
  <si>
    <t>Добpопільський р-н</t>
  </si>
  <si>
    <t>05307200000</t>
  </si>
  <si>
    <t>Констянтинівський р-н</t>
  </si>
  <si>
    <t>05308200000</t>
  </si>
  <si>
    <r>
      <t xml:space="preserve">Покровський р-н </t>
    </r>
    <r>
      <rPr>
        <sz val="10"/>
        <color indexed="10"/>
        <rFont val="Times New Roman"/>
        <family val="1"/>
      </rPr>
      <t>(Кpасноаpмійський)</t>
    </r>
  </si>
  <si>
    <t>05309200000</t>
  </si>
  <si>
    <t>Маp'їнський р-н</t>
  </si>
  <si>
    <t>05310200000</t>
  </si>
  <si>
    <t>Hовоазовський р-н</t>
  </si>
  <si>
    <t>05311200000</t>
  </si>
  <si>
    <t>Олександрівський р-н</t>
  </si>
  <si>
    <t>05312200000</t>
  </si>
  <si>
    <r>
      <t xml:space="preserve">Мангушський р-н </t>
    </r>
    <r>
      <rPr>
        <sz val="10"/>
        <color indexed="10"/>
        <rFont val="Times New Roman"/>
        <family val="1"/>
      </rPr>
      <t>(Пеpшотравневий)</t>
    </r>
  </si>
  <si>
    <t>05313200000</t>
  </si>
  <si>
    <t>Слов'янський р-н</t>
  </si>
  <si>
    <t>05314200000</t>
  </si>
  <si>
    <t>Стаpобешівський р-н</t>
  </si>
  <si>
    <t>05315200000</t>
  </si>
  <si>
    <r>
      <t xml:space="preserve">Бойківський р-н </t>
    </r>
    <r>
      <rPr>
        <sz val="10"/>
        <color indexed="10"/>
        <rFont val="Times New Roman"/>
        <family val="1"/>
      </rPr>
      <t>(Тельманівський)</t>
    </r>
  </si>
  <si>
    <t>05316200000</t>
  </si>
  <si>
    <t>Шахтаpський р-н</t>
  </si>
  <si>
    <t>05317200000</t>
  </si>
  <si>
    <t>Ясинуватcький р-н</t>
  </si>
  <si>
    <t>05501000000</t>
  </si>
  <si>
    <r>
      <t xml:space="preserve">отг. Лиманська (м. Лиман) </t>
    </r>
    <r>
      <rPr>
        <sz val="10"/>
        <color indexed="10"/>
        <rFont val="Times New Roman"/>
        <family val="1"/>
      </rPr>
      <t>(Краснолиманська (м. Красний Лиман)</t>
    </r>
  </si>
  <si>
    <t>05502000000</t>
  </si>
  <si>
    <t>отг. Октябрська (Добропільський район)</t>
  </si>
  <si>
    <t>05503000000</t>
  </si>
  <si>
    <t>отг. Черкаська (Слов"янський район)</t>
  </si>
  <si>
    <t>Зведений бюджет Житомирської  області</t>
  </si>
  <si>
    <t>06100000000</t>
  </si>
  <si>
    <t>06201100000</t>
  </si>
  <si>
    <t>м. Житомир</t>
  </si>
  <si>
    <t>06202100000</t>
  </si>
  <si>
    <t>м. Бердичів</t>
  </si>
  <si>
    <t>06203100000</t>
  </si>
  <si>
    <t>м. Коростень</t>
  </si>
  <si>
    <t>06204100000</t>
  </si>
  <si>
    <t>м. Новоград-Волинський</t>
  </si>
  <si>
    <t>06205100000</t>
  </si>
  <si>
    <t>м. Малин</t>
  </si>
  <si>
    <t>06301200000</t>
  </si>
  <si>
    <t>Андрушівський р-н</t>
  </si>
  <si>
    <t>06302200000</t>
  </si>
  <si>
    <t>Баранівський р-н</t>
  </si>
  <si>
    <t>06303200000</t>
  </si>
  <si>
    <t>Бердичівський р-н</t>
  </si>
  <si>
    <t>06304200000</t>
  </si>
  <si>
    <t>Брусилівський р-н</t>
  </si>
  <si>
    <t>06305200000</t>
  </si>
  <si>
    <r>
      <t xml:space="preserve">Хорошівський р-н </t>
    </r>
    <r>
      <rPr>
        <sz val="10"/>
        <color indexed="10"/>
        <rFont val="Times New Roman"/>
        <family val="1"/>
      </rPr>
      <t>(Володарсько-Волинський)</t>
    </r>
  </si>
  <si>
    <t>06306200000</t>
  </si>
  <si>
    <t>(Дзержинський) Романівський р-н</t>
  </si>
  <si>
    <t>06307200000</t>
  </si>
  <si>
    <t>Ємільчинський р-н</t>
  </si>
  <si>
    <t>06308200000</t>
  </si>
  <si>
    <t>Житомирський р-н</t>
  </si>
  <si>
    <t>06309200000</t>
  </si>
  <si>
    <t>Коростенський р-н</t>
  </si>
  <si>
    <t>06310200000</t>
  </si>
  <si>
    <t>Коростишівськийр-н</t>
  </si>
  <si>
    <t>06311200000</t>
  </si>
  <si>
    <t>Лугинський р-н</t>
  </si>
  <si>
    <t>06312200000</t>
  </si>
  <si>
    <t>Любарський р-н</t>
  </si>
  <si>
    <t>06313200000</t>
  </si>
  <si>
    <t>Малинський р-н</t>
  </si>
  <si>
    <t>06314200000</t>
  </si>
  <si>
    <t>Народицький р-н</t>
  </si>
  <si>
    <t>06315200000</t>
  </si>
  <si>
    <t>Новоград-Волинський р-н</t>
  </si>
  <si>
    <t>06316200000</t>
  </si>
  <si>
    <t>Овруцький р-н</t>
  </si>
  <si>
    <t>06317200000</t>
  </si>
  <si>
    <t>Олевський р-н</t>
  </si>
  <si>
    <t>06318200000</t>
  </si>
  <si>
    <t>Попільнянськийр-н</t>
  </si>
  <si>
    <t>06319200000</t>
  </si>
  <si>
    <t>Радомишльський р-н</t>
  </si>
  <si>
    <t>06320200000</t>
  </si>
  <si>
    <t>Ружинськийр-н</t>
  </si>
  <si>
    <t>06321200000</t>
  </si>
  <si>
    <r>
      <t xml:space="preserve">Пулинський р-н </t>
    </r>
    <r>
      <rPr>
        <sz val="10"/>
        <color indexed="10"/>
        <rFont val="Times New Roman"/>
        <family val="1"/>
      </rPr>
      <t>(Червоноармійський)</t>
    </r>
  </si>
  <si>
    <t>06322200000</t>
  </si>
  <si>
    <t>Черняхівський р-н</t>
  </si>
  <si>
    <t>06323200000</t>
  </si>
  <si>
    <t>Чуднівський р-н</t>
  </si>
  <si>
    <t>06501000000</t>
  </si>
  <si>
    <t>отг Високівська (Черняхівський район)</t>
  </si>
  <si>
    <t>06502000000</t>
  </si>
  <si>
    <t>отг Вишевицька (Радомишльський район)</t>
  </si>
  <si>
    <t>06503000000</t>
  </si>
  <si>
    <t>отг Дубрівська (Баранівський район)</t>
  </si>
  <si>
    <t>06504000000</t>
  </si>
  <si>
    <r>
      <t xml:space="preserve">отг Іршанська (Хорошівський р-н </t>
    </r>
    <r>
      <rPr>
        <sz val="10"/>
        <color indexed="10"/>
        <rFont val="Times New Roman"/>
        <family val="1"/>
      </rPr>
      <t>(Володарсько-Волинський)</t>
    </r>
    <r>
      <rPr>
        <i/>
        <sz val="10"/>
        <rFont val="Times New Roman"/>
        <family val="1"/>
      </rPr>
      <t>)</t>
    </r>
  </si>
  <si>
    <t>06505000000</t>
  </si>
  <si>
    <t>отг Народицька (Народицький район)</t>
  </si>
  <si>
    <t>06506000000</t>
  </si>
  <si>
    <r>
      <t>отг Новоборівська (Хорошівський р-н</t>
    </r>
    <r>
      <rPr>
        <sz val="10"/>
        <color indexed="10"/>
        <rFont val="Times New Roman"/>
        <family val="1"/>
      </rPr>
      <t xml:space="preserve"> (Володарсько-Волинський)</t>
    </r>
    <r>
      <rPr>
        <sz val="10"/>
        <rFont val="Times New Roman"/>
        <family val="1"/>
      </rPr>
      <t>)</t>
    </r>
  </si>
  <si>
    <t>06507000000</t>
  </si>
  <si>
    <t>отг Потіївська (Радомишльський район)</t>
  </si>
  <si>
    <t>06508000000</t>
  </si>
  <si>
    <t>отг Тетерівська (Житомирський район)</t>
  </si>
  <si>
    <t>06509000000</t>
  </si>
  <si>
    <t>отг Червоненська (Андрушівський район)</t>
  </si>
  <si>
    <t>Зведений бюджет Закарпатської  області</t>
  </si>
  <si>
    <t>07100000000</t>
  </si>
  <si>
    <t>07201100000</t>
  </si>
  <si>
    <t>м. Ужгород</t>
  </si>
  <si>
    <t>07202100000</t>
  </si>
  <si>
    <t>м.Берегове</t>
  </si>
  <si>
    <t>07203100000</t>
  </si>
  <si>
    <t>м. Мукачеве</t>
  </si>
  <si>
    <t>07204100000</t>
  </si>
  <si>
    <t>м. Хуст</t>
  </si>
  <si>
    <t>07205100000</t>
  </si>
  <si>
    <t xml:space="preserve"> м. Чоп</t>
  </si>
  <si>
    <t>07301200000</t>
  </si>
  <si>
    <t>Берегівський р-н</t>
  </si>
  <si>
    <t>07302200000</t>
  </si>
  <si>
    <t>Великоберезнянський р-н</t>
  </si>
  <si>
    <t>07303200000</t>
  </si>
  <si>
    <t>Виноградівський р-н</t>
  </si>
  <si>
    <t>07304200000</t>
  </si>
  <si>
    <t>Воловецький р-н</t>
  </si>
  <si>
    <t>07305200000</t>
  </si>
  <si>
    <t>Іршавський р-н</t>
  </si>
  <si>
    <t>07306200000</t>
  </si>
  <si>
    <t>Міжгірський р-н</t>
  </si>
  <si>
    <t>07307200000</t>
  </si>
  <si>
    <t>Мукачівський р-н</t>
  </si>
  <si>
    <t>07308200000</t>
  </si>
  <si>
    <t>Перечинський р-н</t>
  </si>
  <si>
    <t>07309200000</t>
  </si>
  <si>
    <t>Рахівський р-н</t>
  </si>
  <si>
    <t>07310200000</t>
  </si>
  <si>
    <t>Свалявський р-н</t>
  </si>
  <si>
    <t>07311200000</t>
  </si>
  <si>
    <t>Тячівський р-н</t>
  </si>
  <si>
    <t>07312200000</t>
  </si>
  <si>
    <t>Ужгородський р-н</t>
  </si>
  <si>
    <t>07313200000</t>
  </si>
  <si>
    <t>Хустський р-н</t>
  </si>
  <si>
    <t>07501000000</t>
  </si>
  <si>
    <t>отг Вільховецька (Тячівський район)</t>
  </si>
  <si>
    <t>07502000000</t>
  </si>
  <si>
    <t>отг Тячівська (Тячівський район)</t>
  </si>
  <si>
    <t>Зведений бюджет Запорізької області</t>
  </si>
  <si>
    <t>08100000000</t>
  </si>
  <si>
    <t>08201100000</t>
  </si>
  <si>
    <t>м. Запоріжжя</t>
  </si>
  <si>
    <t>08202100000</t>
  </si>
  <si>
    <t>м. Бердянськ</t>
  </si>
  <si>
    <t>08203100000</t>
  </si>
  <si>
    <t>м. Енергодар</t>
  </si>
  <si>
    <t>08204100000</t>
  </si>
  <si>
    <t>м. Мелітополь</t>
  </si>
  <si>
    <t>08205100000</t>
  </si>
  <si>
    <t>м. Токмак</t>
  </si>
  <si>
    <t>08301200000</t>
  </si>
  <si>
    <t>Бердянський р-н</t>
  </si>
  <si>
    <t>08302200000</t>
  </si>
  <si>
    <t>Василівський р-н</t>
  </si>
  <si>
    <t>08303200000</t>
  </si>
  <si>
    <t>Великобілозерський р-н</t>
  </si>
  <si>
    <t>08304200000</t>
  </si>
  <si>
    <t>Веселівський р-н</t>
  </si>
  <si>
    <t>08305200000</t>
  </si>
  <si>
    <t>Вільнянський р-н</t>
  </si>
  <si>
    <t>08306200000</t>
  </si>
  <si>
    <t>Гуляйпільський р-н</t>
  </si>
  <si>
    <t>08307200000</t>
  </si>
  <si>
    <t>Запорізький р-н</t>
  </si>
  <si>
    <t>08308200000</t>
  </si>
  <si>
    <t>Кам'янсько-Дніпровський р-н</t>
  </si>
  <si>
    <t>08309200000</t>
  </si>
  <si>
    <r>
      <t xml:space="preserve">Більмацький р-н </t>
    </r>
    <r>
      <rPr>
        <sz val="10"/>
        <color indexed="10"/>
        <rFont val="Times New Roman"/>
        <family val="1"/>
      </rPr>
      <t>(Куйбишевський)</t>
    </r>
  </si>
  <si>
    <t>08310200000</t>
  </si>
  <si>
    <t>Мелітопольський р-н</t>
  </si>
  <si>
    <t>08311200000</t>
  </si>
  <si>
    <t>Михайлівський р-н</t>
  </si>
  <si>
    <t>08312200000</t>
  </si>
  <si>
    <t>Новомиколаївський р-н</t>
  </si>
  <si>
    <t>08313200000</t>
  </si>
  <si>
    <t>Оріхівський р-н</t>
  </si>
  <si>
    <t>08314200000</t>
  </si>
  <si>
    <t>Пологівський р-н</t>
  </si>
  <si>
    <t>08315200000</t>
  </si>
  <si>
    <t>Приазовський р-н</t>
  </si>
  <si>
    <t>08316200000</t>
  </si>
  <si>
    <t>Приморський р-н</t>
  </si>
  <si>
    <t>08317200000</t>
  </si>
  <si>
    <t>Розівський р-н</t>
  </si>
  <si>
    <t>08318200000</t>
  </si>
  <si>
    <t>Токмацький р-н</t>
  </si>
  <si>
    <t>08319200000</t>
  </si>
  <si>
    <t>Чернігівський р-н</t>
  </si>
  <si>
    <t>08320200000</t>
  </si>
  <si>
    <t>Якимівський р-н</t>
  </si>
  <si>
    <t>08501000000</t>
  </si>
  <si>
    <t>отг Берестівська (Бердянський район)</t>
  </si>
  <si>
    <t>08502000000</t>
  </si>
  <si>
    <t>отг Веселівська (Веселівський район)</t>
  </si>
  <si>
    <t>08503000000</t>
  </si>
  <si>
    <r>
      <t xml:space="preserve">отг Комиш-Зорянська (Більмацький район </t>
    </r>
    <r>
      <rPr>
        <i/>
        <sz val="10"/>
        <color indexed="10"/>
        <rFont val="Times New Roman"/>
        <family val="1"/>
      </rPr>
      <t>(Куйбишевський район)</t>
    </r>
    <r>
      <rPr>
        <i/>
        <sz val="10"/>
        <rFont val="Times New Roman"/>
        <family val="1"/>
      </rPr>
      <t>)</t>
    </r>
  </si>
  <si>
    <t>08504000000</t>
  </si>
  <si>
    <t>отг Преображенська (Оріхівський район)</t>
  </si>
  <si>
    <t>08505000000</t>
  </si>
  <si>
    <r>
      <t xml:space="preserve">отг Смирновська (Більмацький район </t>
    </r>
    <r>
      <rPr>
        <sz val="10"/>
        <color indexed="10"/>
        <rFont val="Times New Roman"/>
        <family val="1"/>
      </rPr>
      <t>(Куйбишевський)</t>
    </r>
    <r>
      <rPr>
        <sz val="10"/>
        <rFont val="Times New Roman"/>
        <family val="1"/>
      </rPr>
      <t>)</t>
    </r>
  </si>
  <si>
    <t>08506000000</t>
  </si>
  <si>
    <t>отг Чапаєвська (Пологівський район)</t>
  </si>
  <si>
    <t>Зведений бюджет Івано-Франківської області</t>
  </si>
  <si>
    <t>09100000000</t>
  </si>
  <si>
    <t>09201100000</t>
  </si>
  <si>
    <t>м. Івано-Франківськ</t>
  </si>
  <si>
    <t>09202100000</t>
  </si>
  <si>
    <t>м. Болехів</t>
  </si>
  <si>
    <t>09203100000</t>
  </si>
  <si>
    <t>м. Калуш</t>
  </si>
  <si>
    <t>09204100000</t>
  </si>
  <si>
    <t>м. Коломия</t>
  </si>
  <si>
    <t>09205100000</t>
  </si>
  <si>
    <t>м. Яремче</t>
  </si>
  <si>
    <t>09206100000</t>
  </si>
  <si>
    <t>м. Бурштин</t>
  </si>
  <si>
    <t>09301200000</t>
  </si>
  <si>
    <t>Богородчанський р-н</t>
  </si>
  <si>
    <t>09302200000</t>
  </si>
  <si>
    <t>Верховинський р-н</t>
  </si>
  <si>
    <t>09303200000</t>
  </si>
  <si>
    <t>Галицький р-н</t>
  </si>
  <si>
    <t>09304200000</t>
  </si>
  <si>
    <t>Городенківський р-н</t>
  </si>
  <si>
    <t>09305200000</t>
  </si>
  <si>
    <t>Долинський р-н</t>
  </si>
  <si>
    <t>09306200000</t>
  </si>
  <si>
    <t>Калуський р-н</t>
  </si>
  <si>
    <t>09307200000</t>
  </si>
  <si>
    <t>Коломийський р-н</t>
  </si>
  <si>
    <t>09308200000</t>
  </si>
  <si>
    <t>Косівський р-н</t>
  </si>
  <si>
    <t>09309200000</t>
  </si>
  <si>
    <t>Надвірнянський р-н</t>
  </si>
  <si>
    <t>09310200000</t>
  </si>
  <si>
    <t>Рогатинський р-н</t>
  </si>
  <si>
    <t>09311200000</t>
  </si>
  <si>
    <t>Рожнятівський р-н</t>
  </si>
  <si>
    <t>09312200000</t>
  </si>
  <si>
    <t>Снятинський р-н</t>
  </si>
  <si>
    <t>09313200000</t>
  </si>
  <si>
    <t>Тисменицький р-н</t>
  </si>
  <si>
    <t>09314200000</t>
  </si>
  <si>
    <t>Тлумацький р-н</t>
  </si>
  <si>
    <t>09501000000</t>
  </si>
  <si>
    <t>отг Верхнянська (Калуський район)</t>
  </si>
  <si>
    <t>09502000000</t>
  </si>
  <si>
    <t>отг Печеніжинська (Коломийський район)</t>
  </si>
  <si>
    <t>09503000000</t>
  </si>
  <si>
    <t>отг Старобогородчанська (Богородчанський район)</t>
  </si>
  <si>
    <t>09504000000</t>
  </si>
  <si>
    <t>отг Білоберізька (Верховинський район)</t>
  </si>
  <si>
    <t>Зведений бюджет Київської області</t>
  </si>
  <si>
    <t>10100000000</t>
  </si>
  <si>
    <t>10201100000</t>
  </si>
  <si>
    <t>м. Березань</t>
  </si>
  <si>
    <t>10202100000</t>
  </si>
  <si>
    <t>м. Бiла Церква</t>
  </si>
  <si>
    <t>10203100000</t>
  </si>
  <si>
    <t>м. Бориспiль</t>
  </si>
  <si>
    <t>10204100000</t>
  </si>
  <si>
    <t>м. Бровари</t>
  </si>
  <si>
    <t>10205100000</t>
  </si>
  <si>
    <t>м. Василькiв</t>
  </si>
  <si>
    <t>10206100000</t>
  </si>
  <si>
    <t>м. Iрпiнь</t>
  </si>
  <si>
    <t>10207100000</t>
  </si>
  <si>
    <t>м. Переяслав-Хмельницький</t>
  </si>
  <si>
    <t>10208100000</t>
  </si>
  <si>
    <t>м. Ржищев</t>
  </si>
  <si>
    <t>10209100000</t>
  </si>
  <si>
    <t>м. Славутич</t>
  </si>
  <si>
    <t>10210100000</t>
  </si>
  <si>
    <t>м. Фастiв</t>
  </si>
  <si>
    <t>10211100000</t>
  </si>
  <si>
    <t>м. Буча</t>
  </si>
  <si>
    <t>10212100000</t>
  </si>
  <si>
    <t>м. Обухів</t>
  </si>
  <si>
    <t>10301200000</t>
  </si>
  <si>
    <t>Баришiвський р-н</t>
  </si>
  <si>
    <t>10302200000</t>
  </si>
  <si>
    <t>Бiлоцеркiвський р-н</t>
  </si>
  <si>
    <t>10303200000</t>
  </si>
  <si>
    <t>Богуславський р-н</t>
  </si>
  <si>
    <t>10304200000</t>
  </si>
  <si>
    <t>Бориспiльський  р-н</t>
  </si>
  <si>
    <t>10305200000</t>
  </si>
  <si>
    <t>Бородянський р-н</t>
  </si>
  <si>
    <t>10306200000</t>
  </si>
  <si>
    <t>Броварський р-н</t>
  </si>
  <si>
    <t>10307200000</t>
  </si>
  <si>
    <t>Василькiвський р-н</t>
  </si>
  <si>
    <t>10308200000</t>
  </si>
  <si>
    <t>Вишгородський р-н</t>
  </si>
  <si>
    <t>10309200000</t>
  </si>
  <si>
    <t>Володарський р-н</t>
  </si>
  <si>
    <t>10310200000</t>
  </si>
  <si>
    <t>Згурiвський р-н</t>
  </si>
  <si>
    <t>10311200000</t>
  </si>
  <si>
    <t>Iванкiвський р-н</t>
  </si>
  <si>
    <t>10312200000</t>
  </si>
  <si>
    <t>Кагарлицький р-н</t>
  </si>
  <si>
    <t>10313200000</t>
  </si>
  <si>
    <t>Києво-Святошинський р-н</t>
  </si>
  <si>
    <t>10314200000</t>
  </si>
  <si>
    <t>Макарiвський р-н</t>
  </si>
  <si>
    <t>10315200000</t>
  </si>
  <si>
    <t>Миронiвський р-н</t>
  </si>
  <si>
    <t>10316200000</t>
  </si>
  <si>
    <t>Обухiвський р-н</t>
  </si>
  <si>
    <t>10317200000</t>
  </si>
  <si>
    <t>Переяслав-Хмельницький р-н</t>
  </si>
  <si>
    <t>10318200000</t>
  </si>
  <si>
    <t>Полiський р-н</t>
  </si>
  <si>
    <t>10319200000</t>
  </si>
  <si>
    <t>Рокитнянський р-н</t>
  </si>
  <si>
    <t>10320200000</t>
  </si>
  <si>
    <t>Сквирський р-н</t>
  </si>
  <si>
    <t>10321200000</t>
  </si>
  <si>
    <t>Ставищенський р-н</t>
  </si>
  <si>
    <t>10322200000</t>
  </si>
  <si>
    <t>Таращанський р-н</t>
  </si>
  <si>
    <t>10323200000</t>
  </si>
  <si>
    <t>Тетiївський р-н</t>
  </si>
  <si>
    <t>10324200000</t>
  </si>
  <si>
    <t>Фастiвський р-н</t>
  </si>
  <si>
    <t>10325200000</t>
  </si>
  <si>
    <t>Яготинський р-н</t>
  </si>
  <si>
    <t>10501000000</t>
  </si>
  <si>
    <t>отг Калитянська (Броварський район)</t>
  </si>
  <si>
    <t>10502000000</t>
  </si>
  <si>
    <t>отг Пісківська (Бородянський район)</t>
  </si>
  <si>
    <t>Зведений бюджет Кіровоградської області</t>
  </si>
  <si>
    <t>11100000000</t>
  </si>
  <si>
    <t>11201100000</t>
  </si>
  <si>
    <t>(м. Кропвницький (м. Кіровоград</t>
  </si>
  <si>
    <t>11202100000</t>
  </si>
  <si>
    <t>м. Знам'янка</t>
  </si>
  <si>
    <t>11203100000</t>
  </si>
  <si>
    <t>м. Олександрія</t>
  </si>
  <si>
    <t>11204100000</t>
  </si>
  <si>
    <t>м. Світловодськ</t>
  </si>
  <si>
    <t>11301200000</t>
  </si>
  <si>
    <t>Бобринецький р-н</t>
  </si>
  <si>
    <t>11302200000</t>
  </si>
  <si>
    <t>Вільшанський р-н</t>
  </si>
  <si>
    <t>11303200000</t>
  </si>
  <si>
    <t>Гайворонський р-н</t>
  </si>
  <si>
    <t>11304200000</t>
  </si>
  <si>
    <t>Голованівський р-н</t>
  </si>
  <si>
    <t>11305200000</t>
  </si>
  <si>
    <t>Добровеличківський р-н</t>
  </si>
  <si>
    <t>11306200000</t>
  </si>
  <si>
    <t>11307200000</t>
  </si>
  <si>
    <t>Знам'янський р-н</t>
  </si>
  <si>
    <t>11308200000</t>
  </si>
  <si>
    <t>Кіровоградський р-н</t>
  </si>
  <si>
    <t>11309200000</t>
  </si>
  <si>
    <t>Компаніївський р-н</t>
  </si>
  <si>
    <t>11310200000</t>
  </si>
  <si>
    <t>Маловисківський р-н</t>
  </si>
  <si>
    <t>11311200000</t>
  </si>
  <si>
    <t>Новгородківський р-н</t>
  </si>
  <si>
    <t>11312200000</t>
  </si>
  <si>
    <t>Новоархангельський р-н</t>
  </si>
  <si>
    <t>11313200000</t>
  </si>
  <si>
    <t>Новомиргородський р-н</t>
  </si>
  <si>
    <t>11314200000</t>
  </si>
  <si>
    <t>Новоукраїнський р-н</t>
  </si>
  <si>
    <t>11315200000</t>
  </si>
  <si>
    <t>11316200000</t>
  </si>
  <si>
    <t>Олександрійський р-н</t>
  </si>
  <si>
    <t>11317200000</t>
  </si>
  <si>
    <t>Онуфріївський р-н</t>
  </si>
  <si>
    <t>11318200000</t>
  </si>
  <si>
    <t>Петрівський  р-н</t>
  </si>
  <si>
    <t>11319200000</t>
  </si>
  <si>
    <t>Світловодський р-н</t>
  </si>
  <si>
    <t>11320200000</t>
  </si>
  <si>
    <r>
      <t xml:space="preserve">Благовіщенський р-н </t>
    </r>
    <r>
      <rPr>
        <sz val="10"/>
        <color indexed="10"/>
        <rFont val="Times New Roman"/>
        <family val="1"/>
      </rPr>
      <t>(Ульяновський)</t>
    </r>
  </si>
  <si>
    <t>11321200000</t>
  </si>
  <si>
    <t>Устинівський р-н</t>
  </si>
  <si>
    <t>11501000000</t>
  </si>
  <si>
    <t>отг Бобринецька (Бобринецький район)</t>
  </si>
  <si>
    <t>11502000000</t>
  </si>
  <si>
    <t>отг Маловисківська (Маловисківський район)</t>
  </si>
  <si>
    <t>11503000000</t>
  </si>
  <si>
    <t>отг Новоукраїнська (Новоукраїнський район)</t>
  </si>
  <si>
    <t>Зведений бюджет Луганської області</t>
  </si>
  <si>
    <t>12100000000</t>
  </si>
  <si>
    <t>Разом по бюджетах  міст</t>
  </si>
  <si>
    <t>12201100000</t>
  </si>
  <si>
    <t>м. Луганськ</t>
  </si>
  <si>
    <t>12202100000</t>
  </si>
  <si>
    <t>м. Алчевськ</t>
  </si>
  <si>
    <t>12203100000</t>
  </si>
  <si>
    <t>м. Антрацит</t>
  </si>
  <si>
    <t>12204100000</t>
  </si>
  <si>
    <t>м. Брянка</t>
  </si>
  <si>
    <t>12205100000</t>
  </si>
  <si>
    <r>
      <t xml:space="preserve">м. Голубівка </t>
    </r>
    <r>
      <rPr>
        <sz val="10"/>
        <color indexed="10"/>
        <rFont val="Times New Roman"/>
        <family val="1"/>
      </rPr>
      <t>(м. Кіровськ)</t>
    </r>
  </si>
  <si>
    <t>12206100000</t>
  </si>
  <si>
    <r>
      <t xml:space="preserve">м. Хрустальний </t>
    </r>
    <r>
      <rPr>
        <sz val="10"/>
        <color indexed="10"/>
        <rFont val="Times New Roman"/>
        <family val="1"/>
      </rPr>
      <t>(м. Красний Луч)</t>
    </r>
  </si>
  <si>
    <t>12207100000</t>
  </si>
  <si>
    <r>
      <t xml:space="preserve">м. Сорокине </t>
    </r>
    <r>
      <rPr>
        <sz val="10"/>
        <color indexed="10"/>
        <rFont val="Times New Roman"/>
        <family val="1"/>
      </rPr>
      <t>(м. Краснодон)</t>
    </r>
  </si>
  <si>
    <t>12208100000</t>
  </si>
  <si>
    <t>м. Лисичанськ</t>
  </si>
  <si>
    <t>12209100000</t>
  </si>
  <si>
    <t>м. Первомайськ</t>
  </si>
  <si>
    <t>12210100000</t>
  </si>
  <si>
    <t>м. Ровеньки</t>
  </si>
  <si>
    <t>12211100000</t>
  </si>
  <si>
    <t>м. Рубіжне</t>
  </si>
  <si>
    <t>12212100000</t>
  </si>
  <si>
    <r>
      <t xml:space="preserve">м. Довжанськ </t>
    </r>
    <r>
      <rPr>
        <sz val="10"/>
        <color indexed="10"/>
        <rFont val="Times New Roman"/>
        <family val="1"/>
      </rPr>
      <t>(м. Свердловськ)</t>
    </r>
  </si>
  <si>
    <t>12213100000</t>
  </si>
  <si>
    <t>м. Сєверодонецьк</t>
  </si>
  <si>
    <t>12214100000</t>
  </si>
  <si>
    <r>
      <t xml:space="preserve">м. Кадіївка </t>
    </r>
    <r>
      <rPr>
        <sz val="10"/>
        <color indexed="10"/>
        <rFont val="Times New Roman"/>
        <family val="1"/>
      </rPr>
      <t>(м. Стаханов)</t>
    </r>
  </si>
  <si>
    <t>12301200000</t>
  </si>
  <si>
    <t>Антрацитівський р-н</t>
  </si>
  <si>
    <t>12302200000</t>
  </si>
  <si>
    <t>Біловодський р-н</t>
  </si>
  <si>
    <t>12303200000</t>
  </si>
  <si>
    <t>Білокуракинський р-н</t>
  </si>
  <si>
    <t>12304200000</t>
  </si>
  <si>
    <r>
      <t xml:space="preserve">Сорокинський р-н </t>
    </r>
    <r>
      <rPr>
        <sz val="10"/>
        <color indexed="10"/>
        <rFont val="Times New Roman"/>
        <family val="1"/>
      </rPr>
      <t>(Краснодонський)</t>
    </r>
  </si>
  <si>
    <t>12305200000</t>
  </si>
  <si>
    <t>Кремінський р-н</t>
  </si>
  <si>
    <t>12306200000</t>
  </si>
  <si>
    <t>Лутугинський р-н</t>
  </si>
  <si>
    <t>12307200000</t>
  </si>
  <si>
    <t>Марківський р-н</t>
  </si>
  <si>
    <t>12308200000</t>
  </si>
  <si>
    <t>Міловський р-н</t>
  </si>
  <si>
    <t>12309200000</t>
  </si>
  <si>
    <t>Новоайдарський р-н</t>
  </si>
  <si>
    <t>12310200000</t>
  </si>
  <si>
    <t>Новопсковський р-н</t>
  </si>
  <si>
    <t>12311200000</t>
  </si>
  <si>
    <t>Перевальський р-н</t>
  </si>
  <si>
    <t>12312200000</t>
  </si>
  <si>
    <t>Попаснянський р-н</t>
  </si>
  <si>
    <t>12313200000</t>
  </si>
  <si>
    <t>Сватівський р-н</t>
  </si>
  <si>
    <t>12314200000</t>
  </si>
  <si>
    <t>Слов'яносербський р-н</t>
  </si>
  <si>
    <t>12315200000</t>
  </si>
  <si>
    <t>Станично-Луганський р-н</t>
  </si>
  <si>
    <t>12316200000</t>
  </si>
  <si>
    <t>Старобільський р-н</t>
  </si>
  <si>
    <t>12317200000</t>
  </si>
  <si>
    <t>Троїцький р-н</t>
  </si>
  <si>
    <t>12501000000</t>
  </si>
  <si>
    <t>отг Білокуракинська (Білокуракинський район)</t>
  </si>
  <si>
    <t>12502000000</t>
  </si>
  <si>
    <t>отг Новопсковська (Новопсковський район)</t>
  </si>
  <si>
    <t>Зведений бюджет Львівської  області</t>
  </si>
  <si>
    <t>13100000000</t>
  </si>
  <si>
    <t>13201100000</t>
  </si>
  <si>
    <t>м. Львів</t>
  </si>
  <si>
    <t>13202100000</t>
  </si>
  <si>
    <t>м. Борислав</t>
  </si>
  <si>
    <t>13203100000</t>
  </si>
  <si>
    <t>м. Дрогобич</t>
  </si>
  <si>
    <t>13204100000</t>
  </si>
  <si>
    <t>м. Моршин</t>
  </si>
  <si>
    <t>13205100000</t>
  </si>
  <si>
    <t>м. Новий Розділ</t>
  </si>
  <si>
    <t>13206100000</t>
  </si>
  <si>
    <t>м. Самбір</t>
  </si>
  <si>
    <t>13207100000</t>
  </si>
  <si>
    <t>м. Стрий</t>
  </si>
  <si>
    <t>13208100000</t>
  </si>
  <si>
    <t>м. Трускавець</t>
  </si>
  <si>
    <t>13209100000</t>
  </si>
  <si>
    <t>м. Червоноград</t>
  </si>
  <si>
    <t>13301200000</t>
  </si>
  <si>
    <t>Бродівський  р-н</t>
  </si>
  <si>
    <t>13302200000</t>
  </si>
  <si>
    <t>Буський  р-н</t>
  </si>
  <si>
    <t>13303200000</t>
  </si>
  <si>
    <t>Городоцький р-н</t>
  </si>
  <si>
    <t>13304200000</t>
  </si>
  <si>
    <t>Дрогобицький р-н</t>
  </si>
  <si>
    <t>13305200000</t>
  </si>
  <si>
    <t>Жидачівський р-н</t>
  </si>
  <si>
    <t>13306200000</t>
  </si>
  <si>
    <t>Жовківський р-н</t>
  </si>
  <si>
    <t>13307200000</t>
  </si>
  <si>
    <t>Золочівський р-н</t>
  </si>
  <si>
    <t>13308200000</t>
  </si>
  <si>
    <t>Кам'янка-Бузький р-н</t>
  </si>
  <si>
    <t>13309200000</t>
  </si>
  <si>
    <t>Миколаївський р-н</t>
  </si>
  <si>
    <t>13310200000</t>
  </si>
  <si>
    <t>Мостиський р-н</t>
  </si>
  <si>
    <t>13311200000</t>
  </si>
  <si>
    <t>Перемишлянський р-н</t>
  </si>
  <si>
    <t>13312200000</t>
  </si>
  <si>
    <t>Пустомитівський р-н</t>
  </si>
  <si>
    <t>13313200000</t>
  </si>
  <si>
    <t>Радехівський р-н</t>
  </si>
  <si>
    <t>13314200000</t>
  </si>
  <si>
    <t>Самбірський р-н</t>
  </si>
  <si>
    <t>13315200000</t>
  </si>
  <si>
    <t>Сколівський р-н</t>
  </si>
  <si>
    <t>13316200000</t>
  </si>
  <si>
    <t>Сокальський р-н</t>
  </si>
  <si>
    <t>13317200000</t>
  </si>
  <si>
    <t>Старосамбірський р-н</t>
  </si>
  <si>
    <t>13318200000</t>
  </si>
  <si>
    <t>Стрийський р-н</t>
  </si>
  <si>
    <t>13319200000</t>
  </si>
  <si>
    <t>Турківський р-н</t>
  </si>
  <si>
    <t>13320200000</t>
  </si>
  <si>
    <t>Яворівський р-н</t>
  </si>
  <si>
    <t>13501000000</t>
  </si>
  <si>
    <t>отг Бабинська (Самбірський район)</t>
  </si>
  <si>
    <t>13502000000</t>
  </si>
  <si>
    <t>отг Бісковицька (Самбірський район)</t>
  </si>
  <si>
    <t>13503000000</t>
  </si>
  <si>
    <t>отг Вільшаницька (Самбірський район)</t>
  </si>
  <si>
    <t>13504000000</t>
  </si>
  <si>
    <t>отг Воле-Баранецька (Самбірський район)</t>
  </si>
  <si>
    <t>13505000000</t>
  </si>
  <si>
    <t>отг Гніздичівська (Жидачівський район)</t>
  </si>
  <si>
    <t>13506000000</t>
  </si>
  <si>
    <t>отг Грабовецька (Стрійський район)</t>
  </si>
  <si>
    <t>13507000000</t>
  </si>
  <si>
    <t>отг Дублянська (Самбірський район)</t>
  </si>
  <si>
    <t>13508000000</t>
  </si>
  <si>
    <t>отг Заболотцівська (Бродівський район)</t>
  </si>
  <si>
    <t>13509000000</t>
  </si>
  <si>
    <t>отг Луківська (Самбірський район)</t>
  </si>
  <si>
    <t>13510000000</t>
  </si>
  <si>
    <t>отг Міженецька (Старосамбірський район)</t>
  </si>
  <si>
    <t>13511000000</t>
  </si>
  <si>
    <t>отг Новокалинівська (Самбірський район)</t>
  </si>
  <si>
    <t>13512000000</t>
  </si>
  <si>
    <t>отг Новоміська (Старосамбірський район)</t>
  </si>
  <si>
    <t>13513000000</t>
  </si>
  <si>
    <t>отг Новострілищанська (Жидачівський район)</t>
  </si>
  <si>
    <t>13514000000</t>
  </si>
  <si>
    <t>отг Тростянецька (Миколаївський район)</t>
  </si>
  <si>
    <t>13515000000</t>
  </si>
  <si>
    <t>отг Чукв'янська (Самбірський район)</t>
  </si>
  <si>
    <t>Зведений бюджет Миколаївської області</t>
  </si>
  <si>
    <t>14100000000</t>
  </si>
  <si>
    <t>14201100000</t>
  </si>
  <si>
    <t>м. Миколаїв</t>
  </si>
  <si>
    <t>14202100000</t>
  </si>
  <si>
    <t>м. Вознесенськ</t>
  </si>
  <si>
    <t>14203100000</t>
  </si>
  <si>
    <t>м. Очаків</t>
  </si>
  <si>
    <t>14204100000</t>
  </si>
  <si>
    <t>14205100000</t>
  </si>
  <si>
    <t>м. Южноукраїнськ</t>
  </si>
  <si>
    <t>14301200000</t>
  </si>
  <si>
    <t>Арбузинський р-н</t>
  </si>
  <si>
    <t>14302200000</t>
  </si>
  <si>
    <t>Баштанський р-н</t>
  </si>
  <si>
    <t>14303200000</t>
  </si>
  <si>
    <t>Березанський р-н</t>
  </si>
  <si>
    <t>14304200000</t>
  </si>
  <si>
    <t>Березнегуватський р-н</t>
  </si>
  <si>
    <t>14305200000</t>
  </si>
  <si>
    <t>Братський р-н</t>
  </si>
  <si>
    <t>14306200000</t>
  </si>
  <si>
    <t>Веселинівський р-н</t>
  </si>
  <si>
    <t>14307200000</t>
  </si>
  <si>
    <t>Вознесенський р-н</t>
  </si>
  <si>
    <t>14308200000</t>
  </si>
  <si>
    <t>Врадіївський р-н</t>
  </si>
  <si>
    <t>14309200000</t>
  </si>
  <si>
    <t>Доманівський р-н</t>
  </si>
  <si>
    <t>14310200000</t>
  </si>
  <si>
    <t>Єланецький р-г</t>
  </si>
  <si>
    <t>14311200000</t>
  </si>
  <si>
    <r>
      <t xml:space="preserve">Вітовський р-н </t>
    </r>
    <r>
      <rPr>
        <sz val="10"/>
        <color indexed="10"/>
        <rFont val="Times New Roman"/>
        <family val="1"/>
      </rPr>
      <t>(Жовтневий)</t>
    </r>
  </si>
  <si>
    <t>14312200000</t>
  </si>
  <si>
    <t>Казанківський р-н</t>
  </si>
  <si>
    <t>14313200000</t>
  </si>
  <si>
    <t>Кривоозерський р-н</t>
  </si>
  <si>
    <t>14314200000</t>
  </si>
  <si>
    <t>14315200000</t>
  </si>
  <si>
    <t>Новобузький р-н</t>
  </si>
  <si>
    <t>14316200000</t>
  </si>
  <si>
    <t>Новоодеський р-н</t>
  </si>
  <si>
    <t>14317200000</t>
  </si>
  <si>
    <t>Очаківський р-н</t>
  </si>
  <si>
    <t>14318200000</t>
  </si>
  <si>
    <t>Первомайський р-н</t>
  </si>
  <si>
    <t>14319200000</t>
  </si>
  <si>
    <t>Снігурівський р-н</t>
  </si>
  <si>
    <t>14501000000</t>
  </si>
  <si>
    <t>отг Куцурубська (Очаківський район)</t>
  </si>
  <si>
    <t>Зведений бюджет Одеської області</t>
  </si>
  <si>
    <t>15100000000</t>
  </si>
  <si>
    <t>15201100000</t>
  </si>
  <si>
    <t>м. Одеса</t>
  </si>
  <si>
    <t>15202100000</t>
  </si>
  <si>
    <t>м. Білгород-Дністровський</t>
  </si>
  <si>
    <t>15203100000</t>
  </si>
  <si>
    <t>м. Ізмаїл</t>
  </si>
  <si>
    <t>15204100000</t>
  </si>
  <si>
    <r>
      <t xml:space="preserve">м. Чорноморськ </t>
    </r>
    <r>
      <rPr>
        <sz val="10"/>
        <color indexed="10"/>
        <rFont val="Times New Roman"/>
        <family val="1"/>
      </rPr>
      <t>(м. Іллічівськ)</t>
    </r>
  </si>
  <si>
    <t>15205100000</t>
  </si>
  <si>
    <r>
      <t xml:space="preserve">м. Подільськ </t>
    </r>
    <r>
      <rPr>
        <sz val="10"/>
        <color indexed="10"/>
        <rFont val="Times New Roman"/>
        <family val="1"/>
      </rPr>
      <t>(м. Котовськ)</t>
    </r>
  </si>
  <si>
    <t>15206100000</t>
  </si>
  <si>
    <t>м. Теплодар</t>
  </si>
  <si>
    <t>15207100000</t>
  </si>
  <si>
    <t>м. Южне</t>
  </si>
  <si>
    <t>15301200000</t>
  </si>
  <si>
    <t>Ананьївський р-н</t>
  </si>
  <si>
    <t>15302200000</t>
  </si>
  <si>
    <t>Арцизський р-н</t>
  </si>
  <si>
    <t>15303200000</t>
  </si>
  <si>
    <t>Балтський р-н</t>
  </si>
  <si>
    <t>15304200000</t>
  </si>
  <si>
    <t>Березівський р-н</t>
  </si>
  <si>
    <t>15305200000</t>
  </si>
  <si>
    <t>Білгород-Дністровський р-н</t>
  </si>
  <si>
    <t>15306200000</t>
  </si>
  <si>
    <t>Біляївський р-н</t>
  </si>
  <si>
    <t>15307200000</t>
  </si>
  <si>
    <t>Болградський р-н</t>
  </si>
  <si>
    <t>15308200000</t>
  </si>
  <si>
    <t>Великомихайлівський р-н</t>
  </si>
  <si>
    <t>15309200000</t>
  </si>
  <si>
    <t>Іванівський р-н</t>
  </si>
  <si>
    <t>15310200000</t>
  </si>
  <si>
    <t>Ізмаїльський р-н</t>
  </si>
  <si>
    <t>15311200000</t>
  </si>
  <si>
    <t>Кілійський р-н</t>
  </si>
  <si>
    <t>15312200000</t>
  </si>
  <si>
    <t>Кодимський р-н</t>
  </si>
  <si>
    <t>15313200000</t>
  </si>
  <si>
    <r>
      <t xml:space="preserve">Лиманський р-н </t>
    </r>
    <r>
      <rPr>
        <sz val="10"/>
        <color indexed="10"/>
        <rFont val="Times New Roman"/>
        <family val="1"/>
      </rPr>
      <t>(Комінтернівський р-н)</t>
    </r>
  </si>
  <si>
    <t>15314200000</t>
  </si>
  <si>
    <r>
      <t xml:space="preserve">Подільський р-н </t>
    </r>
    <r>
      <rPr>
        <sz val="10"/>
        <color indexed="10"/>
        <rFont val="Times New Roman"/>
        <family val="1"/>
      </rPr>
      <t>(Котовський)</t>
    </r>
  </si>
  <si>
    <t>15315200000</t>
  </si>
  <si>
    <r>
      <t xml:space="preserve">Окнянський р-н </t>
    </r>
    <r>
      <rPr>
        <sz val="10"/>
        <color indexed="10"/>
        <rFont val="Times New Roman"/>
        <family val="1"/>
      </rPr>
      <t>(Красноокнянський)</t>
    </r>
  </si>
  <si>
    <t>15316200000</t>
  </si>
  <si>
    <t>Любашівський р-н</t>
  </si>
  <si>
    <t>15317200000</t>
  </si>
  <si>
    <t>15318200000</t>
  </si>
  <si>
    <t>Овідіопольський р-н</t>
  </si>
  <si>
    <t>15319200000</t>
  </si>
  <si>
    <t>Ренійський р-н</t>
  </si>
  <si>
    <t>15320200000</t>
  </si>
  <si>
    <t>Роздільнянський р-н</t>
  </si>
  <si>
    <t>15321200000</t>
  </si>
  <si>
    <t>Савранський р-н</t>
  </si>
  <si>
    <t>15322200000</t>
  </si>
  <si>
    <t>Саратський р-н</t>
  </si>
  <si>
    <t>15323200000</t>
  </si>
  <si>
    <t>Тарутинський р-н</t>
  </si>
  <si>
    <t>15324200000</t>
  </si>
  <si>
    <t>Татарбунарський р-н</t>
  </si>
  <si>
    <t>15325200000</t>
  </si>
  <si>
    <r>
      <t xml:space="preserve">Захарівський р-н </t>
    </r>
    <r>
      <rPr>
        <sz val="10"/>
        <color indexed="10"/>
        <rFont val="Times New Roman"/>
        <family val="1"/>
      </rPr>
      <t>(Фрунзівський)</t>
    </r>
  </si>
  <si>
    <t>15326200000</t>
  </si>
  <si>
    <t>Ширяївський р-н</t>
  </si>
  <si>
    <t>15501000000</t>
  </si>
  <si>
    <t>отг Балтська (Балтський район)</t>
  </si>
  <si>
    <t>15502000000</t>
  </si>
  <si>
    <t>отг Біляївська (Біляївський район)</t>
  </si>
  <si>
    <t>15503000000</t>
  </si>
  <si>
    <t>отг Великомихайлівська (Великомихайлівський район)</t>
  </si>
  <si>
    <t>15504000000</t>
  </si>
  <si>
    <t>отг Красносільська (Комінтернівський район)</t>
  </si>
  <si>
    <t>15505000000</t>
  </si>
  <si>
    <t>отг Маразліївська (Б. Дністровський район)</t>
  </si>
  <si>
    <t>15506000000</t>
  </si>
  <si>
    <t>отг Розквітівська (Березівський район)</t>
  </si>
  <si>
    <t>15507000000</t>
  </si>
  <si>
    <t>отг Тузлівська (Татарбунарський район)</t>
  </si>
  <si>
    <t>15508000000</t>
  </si>
  <si>
    <t>отг Червоноармійська (Березівський район)</t>
  </si>
  <si>
    <t>Зведений бюджет Полтавської області</t>
  </si>
  <si>
    <t>16100000000</t>
  </si>
  <si>
    <t>16201100000</t>
  </si>
  <si>
    <t>м. Полтава</t>
  </si>
  <si>
    <t>16202100000</t>
  </si>
  <si>
    <r>
      <t xml:space="preserve">м. Горішні Плавні </t>
    </r>
    <r>
      <rPr>
        <sz val="10"/>
        <color indexed="10"/>
        <rFont val="Times New Roman"/>
        <family val="1"/>
      </rPr>
      <t>(м. Комсомольськ)</t>
    </r>
  </si>
  <si>
    <t>16203100000</t>
  </si>
  <si>
    <t>м. Кременчук</t>
  </si>
  <si>
    <t>16204100000</t>
  </si>
  <si>
    <t>м. Лубни</t>
  </si>
  <si>
    <t>16205100000</t>
  </si>
  <si>
    <t>м. Миргород</t>
  </si>
  <si>
    <t>16206100000</t>
  </si>
  <si>
    <t>м. Гадяч</t>
  </si>
  <si>
    <t>16301200000</t>
  </si>
  <si>
    <t>Великобагачанський р-н</t>
  </si>
  <si>
    <t>16302200000</t>
  </si>
  <si>
    <t>Гадяцький р-н</t>
  </si>
  <si>
    <t>16303200000</t>
  </si>
  <si>
    <t>Глобинський р-н</t>
  </si>
  <si>
    <t>16304200000</t>
  </si>
  <si>
    <t>Гребінківський р-н</t>
  </si>
  <si>
    <t>16305200000</t>
  </si>
  <si>
    <t>Диканський р-н</t>
  </si>
  <si>
    <t>16306200000</t>
  </si>
  <si>
    <t>Зінківський р-н</t>
  </si>
  <si>
    <t>16307200000</t>
  </si>
  <si>
    <t>Карлівський  р-н</t>
  </si>
  <si>
    <t>16308200000</t>
  </si>
  <si>
    <t>Кобеляцький р-н</t>
  </si>
  <si>
    <t>16309200000</t>
  </si>
  <si>
    <t>Козельщинський р-н</t>
  </si>
  <si>
    <t>16310200000</t>
  </si>
  <si>
    <t>Кременчуцький р-н</t>
  </si>
  <si>
    <t>16311200000</t>
  </si>
  <si>
    <t>Лохвицький р-н</t>
  </si>
  <si>
    <t>16312200000</t>
  </si>
  <si>
    <t>Лубенський р-н</t>
  </si>
  <si>
    <t>16313200000</t>
  </si>
  <si>
    <t>Машівський р-н</t>
  </si>
  <si>
    <t>16314200000</t>
  </si>
  <si>
    <t>Миргородський р-н</t>
  </si>
  <si>
    <t>16315200000</t>
  </si>
  <si>
    <t>Новосанжарський р-н</t>
  </si>
  <si>
    <t>16317200000</t>
  </si>
  <si>
    <t>Оржицький р-н</t>
  </si>
  <si>
    <t>16318200000</t>
  </si>
  <si>
    <t>Пирятинський р-н</t>
  </si>
  <si>
    <t>16319200000</t>
  </si>
  <si>
    <t>Полтавський р-н</t>
  </si>
  <si>
    <t>16320200000</t>
  </si>
  <si>
    <t>Решетилівський р-н</t>
  </si>
  <si>
    <t>16321200000</t>
  </si>
  <si>
    <t>Семенівський р-н</t>
  </si>
  <si>
    <t>16322200000</t>
  </si>
  <si>
    <t>Хорольський р-н</t>
  </si>
  <si>
    <t>16323200000</t>
  </si>
  <si>
    <t>Чорнухинськийр-н</t>
  </si>
  <si>
    <t>16324200000</t>
  </si>
  <si>
    <t>Чутівський р-н</t>
  </si>
  <si>
    <t>16325200000</t>
  </si>
  <si>
    <t>Шишацький р-н</t>
  </si>
  <si>
    <t>16326200000</t>
  </si>
  <si>
    <t>Котелевський р-н</t>
  </si>
  <si>
    <t>16501000000</t>
  </si>
  <si>
    <t>отг Білоцерківська  (Великобагачанський район)</t>
  </si>
  <si>
    <t>16502000000</t>
  </si>
  <si>
    <t>отг Глобинська  (Глобинський район)</t>
  </si>
  <si>
    <t>16503000000</t>
  </si>
  <si>
    <t>отг Клепачівська  (Хорольський район)</t>
  </si>
  <si>
    <t>16504000000</t>
  </si>
  <si>
    <t>отг Недогарківська  (Кременчуцький район)</t>
  </si>
  <si>
    <t>16505000000</t>
  </si>
  <si>
    <t>отг Омельницька  (Кременчуцький район)</t>
  </si>
  <si>
    <t>16506000000</t>
  </si>
  <si>
    <t>отг Пирятинська  (Пирятинський район)</t>
  </si>
  <si>
    <t>16507000000</t>
  </si>
  <si>
    <t>отг Піщанська  (Кременчуцький район)</t>
  </si>
  <si>
    <t>16508000000</t>
  </si>
  <si>
    <t>отг Покровобагачанська  (Хорольський район)</t>
  </si>
  <si>
    <t>16509000000</t>
  </si>
  <si>
    <t>отг Пришибська  (Кременчуцький район)</t>
  </si>
  <si>
    <t>16510000000</t>
  </si>
  <si>
    <t>отг Семенівська  (Семенівський район)</t>
  </si>
  <si>
    <t>16511000000</t>
  </si>
  <si>
    <t>отг Червонознам"янська  (Кременчуцький район)</t>
  </si>
  <si>
    <t>16512000000</t>
  </si>
  <si>
    <t>отг Шишацька  (Шишацький район)</t>
  </si>
  <si>
    <t>16513000000</t>
  </si>
  <si>
    <t>отг Артемівська  (Чутівський район)</t>
  </si>
  <si>
    <t>16514000000</t>
  </si>
  <si>
    <t>отг Новоаврамівська  (Хорольський район)</t>
  </si>
  <si>
    <t>Зведений бюджет Рівненської області</t>
  </si>
  <si>
    <t>17100000000</t>
  </si>
  <si>
    <t>17201100000</t>
  </si>
  <si>
    <t>м. Рiвне</t>
  </si>
  <si>
    <t>17202100000</t>
  </si>
  <si>
    <t>м. Дубно</t>
  </si>
  <si>
    <t>17203100000</t>
  </si>
  <si>
    <r>
      <t xml:space="preserve">м. Вараш </t>
    </r>
    <r>
      <rPr>
        <sz val="10"/>
        <color indexed="10"/>
        <rFont val="Times New Roman"/>
        <family val="1"/>
      </rPr>
      <t>(м. Кузнецовськ)</t>
    </r>
  </si>
  <si>
    <t>17204100000</t>
  </si>
  <si>
    <t>м. Острог</t>
  </si>
  <si>
    <t>17301200000</t>
  </si>
  <si>
    <t>Березнiвський р-н</t>
  </si>
  <si>
    <t>17302200000</t>
  </si>
  <si>
    <t>Володимирецький р-н</t>
  </si>
  <si>
    <t>17303200000</t>
  </si>
  <si>
    <t>Гощанський р-н</t>
  </si>
  <si>
    <t>17304200000</t>
  </si>
  <si>
    <t>Демидiвський р-н</t>
  </si>
  <si>
    <t>17305200000</t>
  </si>
  <si>
    <t>Дубенський р-н</t>
  </si>
  <si>
    <t>17306200000</t>
  </si>
  <si>
    <t>Дубровицький р-н</t>
  </si>
  <si>
    <t>17307200000</t>
  </si>
  <si>
    <t>Зарiчненський р-н</t>
  </si>
  <si>
    <t>17308200000</t>
  </si>
  <si>
    <t>Здолбунiвський р-н</t>
  </si>
  <si>
    <t>17309200000</t>
  </si>
  <si>
    <t>Корецький р-н</t>
  </si>
  <si>
    <t>17310200000</t>
  </si>
  <si>
    <t>Костопiльський р-н</t>
  </si>
  <si>
    <t>17311200000</t>
  </si>
  <si>
    <t>Млинiвський р-н</t>
  </si>
  <si>
    <t>17312200000</t>
  </si>
  <si>
    <t>Острозький р-н</t>
  </si>
  <si>
    <t>17313200000</t>
  </si>
  <si>
    <t>Радивилiвський р-н</t>
  </si>
  <si>
    <t>17314200000</t>
  </si>
  <si>
    <t>Рiвненський р-н</t>
  </si>
  <si>
    <t>17315200000</t>
  </si>
  <si>
    <t>Рокитнiвський р-н</t>
  </si>
  <si>
    <t>17316200000</t>
  </si>
  <si>
    <t>Сарненський р-н</t>
  </si>
  <si>
    <t>17501000000</t>
  </si>
  <si>
    <t>отг Бабинська  (Гощанський район)</t>
  </si>
  <si>
    <t>17502000000</t>
  </si>
  <si>
    <t>отг Бугринська  (Гощанський район)</t>
  </si>
  <si>
    <t>17503000000</t>
  </si>
  <si>
    <t>отг Клесівська  (Сарненський район)</t>
  </si>
  <si>
    <t>17504000000</t>
  </si>
  <si>
    <t>отг Миляцька  (Дубровицький район)</t>
  </si>
  <si>
    <t>17505000000</t>
  </si>
  <si>
    <t>отг Підлозцівська  (Млинівський район)</t>
  </si>
  <si>
    <t>17506000000</t>
  </si>
  <si>
    <t>отг Радивилівська  (Радивилівський район)</t>
  </si>
  <si>
    <t>17507000000</t>
  </si>
  <si>
    <t>отг Крупецька  (Радивилівський район)</t>
  </si>
  <si>
    <t>17508000000</t>
  </si>
  <si>
    <t>отг Привільненська  (Дубенський район)</t>
  </si>
  <si>
    <t>отг Мирогощанська  (Дубенський район)</t>
  </si>
  <si>
    <t>отг Локницька (Зарічненський район)</t>
  </si>
  <si>
    <t>Зведений бюджет Сумської області</t>
  </si>
  <si>
    <t>18100000000</t>
  </si>
  <si>
    <t>18201100000</t>
  </si>
  <si>
    <t>м.Суми</t>
  </si>
  <si>
    <t>18202100000</t>
  </si>
  <si>
    <t>м.Глухів</t>
  </si>
  <si>
    <t>18203100000</t>
  </si>
  <si>
    <t>м.Конотоп</t>
  </si>
  <si>
    <t>18204100000</t>
  </si>
  <si>
    <t>м.Лебедин</t>
  </si>
  <si>
    <t>18205100000</t>
  </si>
  <si>
    <t>м.Охтирка</t>
  </si>
  <si>
    <t>18206100000</t>
  </si>
  <si>
    <t>м.Ромни</t>
  </si>
  <si>
    <t>18207100000</t>
  </si>
  <si>
    <t>м.Шостка</t>
  </si>
  <si>
    <t>Разом по  бюджетах районів</t>
  </si>
  <si>
    <t>18301200000</t>
  </si>
  <si>
    <t>Бiлопiльський р-н</t>
  </si>
  <si>
    <t>18302200000</t>
  </si>
  <si>
    <t>Буринський р-н</t>
  </si>
  <si>
    <t>18303200000</t>
  </si>
  <si>
    <t>Великописарівський р-н</t>
  </si>
  <si>
    <t>18304200000</t>
  </si>
  <si>
    <t>Глухiвський р-н</t>
  </si>
  <si>
    <t>18305200000</t>
  </si>
  <si>
    <t>Конотопський р-н</t>
  </si>
  <si>
    <t>18306200000</t>
  </si>
  <si>
    <t>Краснопільський р-н</t>
  </si>
  <si>
    <t>18307200000</t>
  </si>
  <si>
    <t>Кролевецький р-н</t>
  </si>
  <si>
    <t>18308200000</t>
  </si>
  <si>
    <t>Лебединський р-н</t>
  </si>
  <si>
    <t>18309200000</t>
  </si>
  <si>
    <t>Липоводолинський р-н</t>
  </si>
  <si>
    <t>18310200000</t>
  </si>
  <si>
    <t>Недригайлівський р-н</t>
  </si>
  <si>
    <t>18311200000</t>
  </si>
  <si>
    <t>Охтирський р-н</t>
  </si>
  <si>
    <t>18312200000</t>
  </si>
  <si>
    <t>Путивльський р-н</t>
  </si>
  <si>
    <t>18313200000</t>
  </si>
  <si>
    <t>Роменський р-н</t>
  </si>
  <si>
    <t>18314200000</t>
  </si>
  <si>
    <t>Середино-Будський р-н</t>
  </si>
  <si>
    <t>18315200000</t>
  </si>
  <si>
    <t>Сумський р-н</t>
  </si>
  <si>
    <t>18316200000</t>
  </si>
  <si>
    <t>18317200000</t>
  </si>
  <si>
    <t>Шосткинський р-н</t>
  </si>
  <si>
    <t>18318200000</t>
  </si>
  <si>
    <t>18501000000</t>
  </si>
  <si>
    <t>отг Березівська  (Глухівський район)</t>
  </si>
  <si>
    <t>Зведений бюджет Тернопільської області</t>
  </si>
  <si>
    <t>19100000000</t>
  </si>
  <si>
    <t>19201100000</t>
  </si>
  <si>
    <t>м. Тернопіль</t>
  </si>
  <si>
    <t>19202100000</t>
  </si>
  <si>
    <t>м. Чортків</t>
  </si>
  <si>
    <t>19203100000</t>
  </si>
  <si>
    <t>м. Бережани</t>
  </si>
  <si>
    <t>19204100000</t>
  </si>
  <si>
    <t>м. Кременець</t>
  </si>
  <si>
    <t>19301200000</t>
  </si>
  <si>
    <t>Бережанський р-н</t>
  </si>
  <si>
    <t>19302200000</t>
  </si>
  <si>
    <t>Борщівський р-н</t>
  </si>
  <si>
    <t>19303200000</t>
  </si>
  <si>
    <t>Бучацький р-н</t>
  </si>
  <si>
    <t>19304200000</t>
  </si>
  <si>
    <t>Гусятинський р-н</t>
  </si>
  <si>
    <t>19305200000</t>
  </si>
  <si>
    <t>Заліщицький р-н</t>
  </si>
  <si>
    <t>19306200000</t>
  </si>
  <si>
    <t>Збаразький р-н</t>
  </si>
  <si>
    <t>19307200000</t>
  </si>
  <si>
    <t>Зборівський р-н</t>
  </si>
  <si>
    <t>19308200000</t>
  </si>
  <si>
    <t>Козівський р-н</t>
  </si>
  <si>
    <t>19309200000</t>
  </si>
  <si>
    <t>Кременецький р-н</t>
  </si>
  <si>
    <t>19310200000</t>
  </si>
  <si>
    <t>Лановецький р-н</t>
  </si>
  <si>
    <t>19311200000</t>
  </si>
  <si>
    <t>Монастириський р-н</t>
  </si>
  <si>
    <t>19312200000</t>
  </si>
  <si>
    <t>Підволочиський р-н</t>
  </si>
  <si>
    <t>19313200000</t>
  </si>
  <si>
    <t>Підгаєцький р-н</t>
  </si>
  <si>
    <t>19314200000</t>
  </si>
  <si>
    <t>Теребовлянський р-н</t>
  </si>
  <si>
    <t>19315200000</t>
  </si>
  <si>
    <t>Тернопільський р-н</t>
  </si>
  <si>
    <t>19316200000</t>
  </si>
  <si>
    <t>Чортківський р-н</t>
  </si>
  <si>
    <t>19317200000</t>
  </si>
  <si>
    <t>Шумський р-н</t>
  </si>
  <si>
    <t>19501000000</t>
  </si>
  <si>
    <t>отг Байковецька  (Тернопільський район)</t>
  </si>
  <si>
    <t>19502000000</t>
  </si>
  <si>
    <t>отг Білобожницька  (Чортківський район)</t>
  </si>
  <si>
    <t>19503000000</t>
  </si>
  <si>
    <t>отг Васильковецька  (Гусятинський район)</t>
  </si>
  <si>
    <t>19504000000</t>
  </si>
  <si>
    <t>отг Великогаївська  (Тернопільський район)</t>
  </si>
  <si>
    <t>19505000000</t>
  </si>
  <si>
    <t>отг Гусятинська  (Гусятинський район)</t>
  </si>
  <si>
    <t>19506000000</t>
  </si>
  <si>
    <t>отг Заводська  (Чортківський район)</t>
  </si>
  <si>
    <t>19507000000</t>
  </si>
  <si>
    <t>отг Золотниківська  (Теребовлянський район)</t>
  </si>
  <si>
    <t>19508000000</t>
  </si>
  <si>
    <t>отг Золотопотіцька  (Бучацький район)</t>
  </si>
  <si>
    <t>19509000000</t>
  </si>
  <si>
    <t>отг Іванівська  (Теребовлянський район)</t>
  </si>
  <si>
    <t>19510000000</t>
  </si>
  <si>
    <t>отг Козлівська  (Козівський район)</t>
  </si>
  <si>
    <t>19511000000</t>
  </si>
  <si>
    <t>отг Колиндянська   (Чортківський район)</t>
  </si>
  <si>
    <t>19512000000</t>
  </si>
  <si>
    <t>отг Колодненська   (Збаразький район)</t>
  </si>
  <si>
    <t>19513000000</t>
  </si>
  <si>
    <t>отг Коропецька   (Монастириський район)</t>
  </si>
  <si>
    <t>19514000000</t>
  </si>
  <si>
    <t>отг Лопушненська   (Кременський район)</t>
  </si>
  <si>
    <t>19515000000</t>
  </si>
  <si>
    <t>отг Мельнице-Подільська   (Борщівський район)</t>
  </si>
  <si>
    <t>19516000000</t>
  </si>
  <si>
    <t>отг Микулинецька   (Теребовлянський район)</t>
  </si>
  <si>
    <t>19517000000</t>
  </si>
  <si>
    <t>отг Новосільська   (Підволочиський район)</t>
  </si>
  <si>
    <t>19518000000</t>
  </si>
  <si>
    <t>отг Озернянська   (Зборівський район)</t>
  </si>
  <si>
    <t>19519000000</t>
  </si>
  <si>
    <t>отг Озерянська   (Борщівський район)</t>
  </si>
  <si>
    <t>19520000000</t>
  </si>
  <si>
    <t>отг Підволочиська   (Підволочиський район)</t>
  </si>
  <si>
    <t>19521000000</t>
  </si>
  <si>
    <t>отг Почаївська   (Кременецький район)</t>
  </si>
  <si>
    <t>19522000000</t>
  </si>
  <si>
    <t>отг Скала-Подільська   (Борщівський район)</t>
  </si>
  <si>
    <t>19523000000</t>
  </si>
  <si>
    <t>отг Скалатська   (Підволочиський район)</t>
  </si>
  <si>
    <t>19524000000</t>
  </si>
  <si>
    <t>отг Скориківська   (Підволочиський район)</t>
  </si>
  <si>
    <t>19525000000</t>
  </si>
  <si>
    <t>отг Теребовлянська   (Теребовлянський район)</t>
  </si>
  <si>
    <t>19526000000</t>
  </si>
  <si>
    <t>отг Шумська   (Шумський район)</t>
  </si>
  <si>
    <t>Зведений бюджет Харківської області</t>
  </si>
  <si>
    <t>20100000000</t>
  </si>
  <si>
    <t>20201100000</t>
  </si>
  <si>
    <t>м. Харків</t>
  </si>
  <si>
    <t>20202100000</t>
  </si>
  <si>
    <t>м. Ізюм</t>
  </si>
  <si>
    <t>20203100000</t>
  </si>
  <si>
    <t>м. Куп'янськ</t>
  </si>
  <si>
    <t>20204100000</t>
  </si>
  <si>
    <t>м. Лозова</t>
  </si>
  <si>
    <t>20205100000</t>
  </si>
  <si>
    <t>м. Люботин</t>
  </si>
  <si>
    <t>20206100000</t>
  </si>
  <si>
    <t>м. Первомайський</t>
  </si>
  <si>
    <t>20207100000</t>
  </si>
  <si>
    <t>м. Чугуїв</t>
  </si>
  <si>
    <t>20301200000</t>
  </si>
  <si>
    <t>Балаклійський р-н</t>
  </si>
  <si>
    <t>20302200000</t>
  </si>
  <si>
    <t>Барвінківський р-н</t>
  </si>
  <si>
    <t>20303200000</t>
  </si>
  <si>
    <t>Близнюківський р-н</t>
  </si>
  <si>
    <t>20304200000</t>
  </si>
  <si>
    <t>Богодухівський р-н</t>
  </si>
  <si>
    <t>20305200000</t>
  </si>
  <si>
    <t>Борівський р-н</t>
  </si>
  <si>
    <t>20306200000</t>
  </si>
  <si>
    <t>Валківський р-н</t>
  </si>
  <si>
    <t>20307200000</t>
  </si>
  <si>
    <t>Великобурлуцький р-н</t>
  </si>
  <si>
    <t>20308200000</t>
  </si>
  <si>
    <t>Вовчанський р-н</t>
  </si>
  <si>
    <t>20309200000</t>
  </si>
  <si>
    <t>Дворічанський р-н</t>
  </si>
  <si>
    <t>20310200000</t>
  </si>
  <si>
    <t>Дергачівський р-н</t>
  </si>
  <si>
    <t>20311200000</t>
  </si>
  <si>
    <t>Зачепилівський р-н</t>
  </si>
  <si>
    <t>20312200000</t>
  </si>
  <si>
    <t>Зміївський р-н</t>
  </si>
  <si>
    <t>20313200000</t>
  </si>
  <si>
    <t>20314200000</t>
  </si>
  <si>
    <t>Ізюмський р-н</t>
  </si>
  <si>
    <t>20315200000</t>
  </si>
  <si>
    <t>Кегичівський р-н</t>
  </si>
  <si>
    <t>20316200000</t>
  </si>
  <si>
    <t>Коломацький р-н</t>
  </si>
  <si>
    <t>20317200000</t>
  </si>
  <si>
    <t>Красноградський р-н</t>
  </si>
  <si>
    <t>20318200000</t>
  </si>
  <si>
    <t>Краснокутський р-н</t>
  </si>
  <si>
    <t>20319200000</t>
  </si>
  <si>
    <t>Куп'янський р-н</t>
  </si>
  <si>
    <t>20320200000</t>
  </si>
  <si>
    <t>Лозівський р-н</t>
  </si>
  <si>
    <t>20321200000</t>
  </si>
  <si>
    <t>Нововодолазький р-н</t>
  </si>
  <si>
    <t>20322200000</t>
  </si>
  <si>
    <t>20323200000</t>
  </si>
  <si>
    <t>Печенізький р-н</t>
  </si>
  <si>
    <t>20324200000</t>
  </si>
  <si>
    <t>Сахновщинський р-н</t>
  </si>
  <si>
    <t>20325200000</t>
  </si>
  <si>
    <t>Харківський р-н</t>
  </si>
  <si>
    <t>20326200000</t>
  </si>
  <si>
    <t>Чугуївський р-н</t>
  </si>
  <si>
    <t>20327200000</t>
  </si>
  <si>
    <t>Шевченківський р-н</t>
  </si>
  <si>
    <t>20501000000</t>
  </si>
  <si>
    <t>отг Старосалтівська  (Вовчанський район)</t>
  </si>
  <si>
    <t>Зведений бюджет Херсонської області</t>
  </si>
  <si>
    <t>21100000000</t>
  </si>
  <si>
    <t>21201100000</t>
  </si>
  <si>
    <t>м. Херсон</t>
  </si>
  <si>
    <t>21202100000</t>
  </si>
  <si>
    <t>м. Каховка</t>
  </si>
  <si>
    <t>21203100000</t>
  </si>
  <si>
    <t>м. Нова Каховка</t>
  </si>
  <si>
    <t>21204100000</t>
  </si>
  <si>
    <t>м. Гола Пристань</t>
  </si>
  <si>
    <t>Разом по бюджетах  районів</t>
  </si>
  <si>
    <t>21301200000</t>
  </si>
  <si>
    <t>Бериславський р-н</t>
  </si>
  <si>
    <t>21302200000</t>
  </si>
  <si>
    <t>Білозерський р-н</t>
  </si>
  <si>
    <t>21303200000</t>
  </si>
  <si>
    <t>Великолепетиський р-н</t>
  </si>
  <si>
    <t>21304200000</t>
  </si>
  <si>
    <t>Великоолександрівський р-н</t>
  </si>
  <si>
    <t>21305200000</t>
  </si>
  <si>
    <t>Верхньорогачицький р-н</t>
  </si>
  <si>
    <t>21306200000</t>
  </si>
  <si>
    <t>Високопільський р-н</t>
  </si>
  <si>
    <t>21307200000</t>
  </si>
  <si>
    <t>Генічеський р-н</t>
  </si>
  <si>
    <t>21308200000</t>
  </si>
  <si>
    <t>Голопристанський р-н</t>
  </si>
  <si>
    <t>21309200000</t>
  </si>
  <si>
    <t>Горностаївський р-н</t>
  </si>
  <si>
    <t>21310200000</t>
  </si>
  <si>
    <t>21311200000</t>
  </si>
  <si>
    <t>Каланчацький р-н</t>
  </si>
  <si>
    <t>21312200000</t>
  </si>
  <si>
    <t>Каховський р-н</t>
  </si>
  <si>
    <t>21313200000</t>
  </si>
  <si>
    <t>Нижньосірогозький р-н</t>
  </si>
  <si>
    <t>21314200000</t>
  </si>
  <si>
    <t>Нововоронцовський р-н</t>
  </si>
  <si>
    <t>21315200000</t>
  </si>
  <si>
    <t>Новотроїцький р-н</t>
  </si>
  <si>
    <t>21316200000</t>
  </si>
  <si>
    <t>Скадовський р-н</t>
  </si>
  <si>
    <t>21317200000</t>
  </si>
  <si>
    <r>
      <t xml:space="preserve">Олешківський р-н </t>
    </r>
    <r>
      <rPr>
        <sz val="10"/>
        <color indexed="10"/>
        <rFont val="Times New Roman"/>
        <family val="1"/>
      </rPr>
      <t>(Цюрупинський)</t>
    </r>
  </si>
  <si>
    <t>21318200000</t>
  </si>
  <si>
    <t>Чаплинський р-н</t>
  </si>
  <si>
    <t>21501000000</t>
  </si>
  <si>
    <t>отг Кочубеївська  (Високопільський район)</t>
  </si>
  <si>
    <t>Зведений бюджет Хмельницької області</t>
  </si>
  <si>
    <t>22100000000</t>
  </si>
  <si>
    <t>22201100000</t>
  </si>
  <si>
    <t>м. Хмельницький</t>
  </si>
  <si>
    <t>22202100000</t>
  </si>
  <si>
    <t>м. Кам"янець-Подiльський</t>
  </si>
  <si>
    <t>22203100000</t>
  </si>
  <si>
    <t>м. Нетiшин</t>
  </si>
  <si>
    <t>22204100000</t>
  </si>
  <si>
    <t>м. Славута</t>
  </si>
  <si>
    <t>22205100000</t>
  </si>
  <si>
    <t>м. Старокостянтинів</t>
  </si>
  <si>
    <t>22206100000</t>
  </si>
  <si>
    <t>м. Шепетiвка</t>
  </si>
  <si>
    <t>22301200000</t>
  </si>
  <si>
    <t>Бiлогiрський  р-н</t>
  </si>
  <si>
    <t>22302200000</t>
  </si>
  <si>
    <t>Вiньковецький  р-н</t>
  </si>
  <si>
    <t>22303200000</t>
  </si>
  <si>
    <t>Волочиський р-н</t>
  </si>
  <si>
    <t>22304200000</t>
  </si>
  <si>
    <t>22305200000</t>
  </si>
  <si>
    <t>Деражнянський  р-н</t>
  </si>
  <si>
    <t>22306200000</t>
  </si>
  <si>
    <t>Дунаєвецький  р-н</t>
  </si>
  <si>
    <t>22307200000</t>
  </si>
  <si>
    <t>Iзяславський р-н</t>
  </si>
  <si>
    <t>22308200000</t>
  </si>
  <si>
    <t>Кам"янець-Подiльський  р-н</t>
  </si>
  <si>
    <t>22309200000</t>
  </si>
  <si>
    <t>Красилiвський  р-н</t>
  </si>
  <si>
    <t>22310200000</t>
  </si>
  <si>
    <t>Летичiвський р-н</t>
  </si>
  <si>
    <t>22311200000</t>
  </si>
  <si>
    <t>Новоушицький  р-н</t>
  </si>
  <si>
    <t>22312200000</t>
  </si>
  <si>
    <t>Полонський  р-н</t>
  </si>
  <si>
    <t>22313200000</t>
  </si>
  <si>
    <t>Славутський р-н</t>
  </si>
  <si>
    <t>22314200000</t>
  </si>
  <si>
    <t>Старокостянтинiвський р-н</t>
  </si>
  <si>
    <t>22315200000</t>
  </si>
  <si>
    <t>Старосинявський р-н</t>
  </si>
  <si>
    <t>22316200000</t>
  </si>
  <si>
    <t>Теофiпольський р-н</t>
  </si>
  <si>
    <t>22317200000</t>
  </si>
  <si>
    <t>Хмельницький р-н</t>
  </si>
  <si>
    <t>22318200000</t>
  </si>
  <si>
    <t>Чемеровецький р-н</t>
  </si>
  <si>
    <t>22319200000</t>
  </si>
  <si>
    <t>Шепетiвський р-н</t>
  </si>
  <si>
    <t>22320200000</t>
  </si>
  <si>
    <t>Ярмолинецький р-н</t>
  </si>
  <si>
    <t>22501000000</t>
  </si>
  <si>
    <t>отг Берездівська  (Славутський район)</t>
  </si>
  <si>
    <t>22502000000</t>
  </si>
  <si>
    <t>отг Війтовецька  (Волочиський район)</t>
  </si>
  <si>
    <t>22503000000</t>
  </si>
  <si>
    <t>отг Волочиська  (Волочиський район)</t>
  </si>
  <si>
    <t>22504000000</t>
  </si>
  <si>
    <t>отг Ганнопільська  (Славутський район)</t>
  </si>
  <si>
    <t>22505000000</t>
  </si>
  <si>
    <t>отг Гвардійська  (Хмельницький район)</t>
  </si>
  <si>
    <t>22506000000</t>
  </si>
  <si>
    <t>отг Гуменецька  (Кам"янець-Подільський район)</t>
  </si>
  <si>
    <t>22507000000</t>
  </si>
  <si>
    <t>отг Дунаєвецька  (Дунаєвецький район)</t>
  </si>
  <si>
    <t>22508000000</t>
  </si>
  <si>
    <t>22509000000</t>
  </si>
  <si>
    <t>отг Китайгородська  (Кам"янець-Подільський район)</t>
  </si>
  <si>
    <t>22510000000</t>
  </si>
  <si>
    <t>отг Колибаївська  (Кам"янець-Подільський район)</t>
  </si>
  <si>
    <t>22511000000</t>
  </si>
  <si>
    <t>отг Летичівська  (Летичівський район)</t>
  </si>
  <si>
    <t>22512000000</t>
  </si>
  <si>
    <t>отг Лісовогринівецька  (Хмельницький район)</t>
  </si>
  <si>
    <t>22513000000</t>
  </si>
  <si>
    <t>отг Маківська  (Дунаєвецький район)</t>
  </si>
  <si>
    <t>22514000000</t>
  </si>
  <si>
    <t>отг Меджибізька  (Летичівський район)</t>
  </si>
  <si>
    <t>22515000000</t>
  </si>
  <si>
    <t>отг Наркевицька  (Волочиський район)</t>
  </si>
  <si>
    <t>22516000000</t>
  </si>
  <si>
    <t>отг Новоушицька  (Новоушицький район)</t>
  </si>
  <si>
    <t>22517000000</t>
  </si>
  <si>
    <t>отг Полонська  (Полонський район)</t>
  </si>
  <si>
    <t>22518000000</t>
  </si>
  <si>
    <t>отг Понінківська  (Полонський район)</t>
  </si>
  <si>
    <t>22519000000</t>
  </si>
  <si>
    <t>отг Розсошанська  (Хмельницький район)</t>
  </si>
  <si>
    <t>22520000000</t>
  </si>
  <si>
    <t>отг Сатанівська  (Городоцький район)</t>
  </si>
  <si>
    <t>22521000000</t>
  </si>
  <si>
    <t>отг Старосинявська  (Старосинявський район)</t>
  </si>
  <si>
    <t>22522000000</t>
  </si>
  <si>
    <t>отг Чорноострівська  (Хмельницький район)</t>
  </si>
  <si>
    <t>Зведений бюджет Черкаської області</t>
  </si>
  <si>
    <t>23100000000</t>
  </si>
  <si>
    <t>23201100000</t>
  </si>
  <si>
    <t>м. Черкаси</t>
  </si>
  <si>
    <t>23202100000</t>
  </si>
  <si>
    <t>м. Ватутiне</t>
  </si>
  <si>
    <t>23203100000</t>
  </si>
  <si>
    <t>м. Золотоноша</t>
  </si>
  <si>
    <t>23204100000</t>
  </si>
  <si>
    <t>м. Канiв</t>
  </si>
  <si>
    <t>23205100000</t>
  </si>
  <si>
    <t>м. Смiла</t>
  </si>
  <si>
    <t>23206100000</t>
  </si>
  <si>
    <t>м. Умань</t>
  </si>
  <si>
    <t>23301200000</t>
  </si>
  <si>
    <t>Городищенський р-н</t>
  </si>
  <si>
    <t>23302200000</t>
  </si>
  <si>
    <t>Драбiвський р-н</t>
  </si>
  <si>
    <t>23303200000</t>
  </si>
  <si>
    <t>Жашкiвський р-н</t>
  </si>
  <si>
    <t>23304200000</t>
  </si>
  <si>
    <t>Звенигородський р-н</t>
  </si>
  <si>
    <t>23305200000</t>
  </si>
  <si>
    <t>Золотонiський р-н</t>
  </si>
  <si>
    <t>23306200000</t>
  </si>
  <si>
    <t>Кам'янський р-н</t>
  </si>
  <si>
    <t>23307200000</t>
  </si>
  <si>
    <t>Канiвський р-н</t>
  </si>
  <si>
    <t>23308200000</t>
  </si>
  <si>
    <t>Катеринопiльський р-н</t>
  </si>
  <si>
    <t>23309200000</t>
  </si>
  <si>
    <t>Корсунь-Шевченкiвський р-н</t>
  </si>
  <si>
    <t>23310200000</t>
  </si>
  <si>
    <t>Лисянський р-н</t>
  </si>
  <si>
    <t>23311200000</t>
  </si>
  <si>
    <t>Манькiвський р-н</t>
  </si>
  <si>
    <t>23312200000</t>
  </si>
  <si>
    <t>Монастерищенський р-н</t>
  </si>
  <si>
    <t>23313200000</t>
  </si>
  <si>
    <t>Смiлянський р-н</t>
  </si>
  <si>
    <t>23314200000</t>
  </si>
  <si>
    <t>Тальнiвський р-н</t>
  </si>
  <si>
    <t>23315200000</t>
  </si>
  <si>
    <t>Уманський р-н</t>
  </si>
  <si>
    <t>23316200000</t>
  </si>
  <si>
    <t>Христинiвський р-н</t>
  </si>
  <si>
    <t>23317200000</t>
  </si>
  <si>
    <t>Черкаський р-н</t>
  </si>
  <si>
    <t>23318200000</t>
  </si>
  <si>
    <t>Чигиринський р-н</t>
  </si>
  <si>
    <t>23319200000</t>
  </si>
  <si>
    <t>Чорнобаївський р-н</t>
  </si>
  <si>
    <t>23320200000</t>
  </si>
  <si>
    <t>Шполянський р-н</t>
  </si>
  <si>
    <t>23501000000</t>
  </si>
  <si>
    <t>отг Білозірська  (Черкаський район)</t>
  </si>
  <si>
    <t>23502000000</t>
  </si>
  <si>
    <t>отг Єрківська  (Катеринопільський район)</t>
  </si>
  <si>
    <t>23503000000</t>
  </si>
  <si>
    <t>отг Мокрокалигірська  (Катеринопільський район)</t>
  </si>
  <si>
    <t>Зведений бюджет Чернівецької області</t>
  </si>
  <si>
    <t>24100000000</t>
  </si>
  <si>
    <t xml:space="preserve">Разом побюджетах  міст </t>
  </si>
  <si>
    <t>24201100000</t>
  </si>
  <si>
    <t>м. Чернівці</t>
  </si>
  <si>
    <t>24202100000</t>
  </si>
  <si>
    <t>м. Новодністровськ</t>
  </si>
  <si>
    <t>24301200000</t>
  </si>
  <si>
    <t>Вижницький р-н</t>
  </si>
  <si>
    <t>24302200000</t>
  </si>
  <si>
    <t>Герцаївський р-н</t>
  </si>
  <si>
    <t>24303200000</t>
  </si>
  <si>
    <t>Глибоцький р-н</t>
  </si>
  <si>
    <t>24304200000</t>
  </si>
  <si>
    <t>Заставнівський  р-н</t>
  </si>
  <si>
    <t>24305200000</t>
  </si>
  <si>
    <t>Кельменецький р-н</t>
  </si>
  <si>
    <t>24306200000</t>
  </si>
  <si>
    <t>Кіцманський р-н</t>
  </si>
  <si>
    <t>24307200000</t>
  </si>
  <si>
    <t>Новоселицький р-н</t>
  </si>
  <si>
    <t>24308200000</t>
  </si>
  <si>
    <t>Путильський р-н</t>
  </si>
  <si>
    <t>24309200000</t>
  </si>
  <si>
    <t>Сокирянський р-н</t>
  </si>
  <si>
    <t>24310200000</t>
  </si>
  <si>
    <t>Сторожинецький р-н</t>
  </si>
  <si>
    <t>24311200000</t>
  </si>
  <si>
    <t>Хотинський р-н</t>
  </si>
  <si>
    <t>24501000000</t>
  </si>
  <si>
    <t>отг Вашковецька  (Сокирянський район)</t>
  </si>
  <si>
    <t>24502000000</t>
  </si>
  <si>
    <t>отг Великокучурівська  (Сторожинецький район)</t>
  </si>
  <si>
    <t>24503000000</t>
  </si>
  <si>
    <t>отг Волоківська  (Глибоцький район)</t>
  </si>
  <si>
    <t>24504000000</t>
  </si>
  <si>
    <t>отг Глибоцька  (Глибоцький район)</t>
  </si>
  <si>
    <t>24505000000</t>
  </si>
  <si>
    <t>отг Клішковецька  (Хотинський район)</t>
  </si>
  <si>
    <t>24506000000</t>
  </si>
  <si>
    <t>отг Мамалигівська  (Новоселицький район)</t>
  </si>
  <si>
    <t>24507000000</t>
  </si>
  <si>
    <t>отг Недобоївська  (Хотинський район)</t>
  </si>
  <si>
    <t>24508000000</t>
  </si>
  <si>
    <t>отг Рукшинська  (Хотинський район)</t>
  </si>
  <si>
    <t>24509000000</t>
  </si>
  <si>
    <t>отг Сокирянська  (Сокирянський район)</t>
  </si>
  <si>
    <t>24510000000</t>
  </si>
  <si>
    <t>отг Усть-Путильська  (Путильський район)</t>
  </si>
  <si>
    <t>Зведений бюджет Чернігівської області</t>
  </si>
  <si>
    <t>25100000000</t>
  </si>
  <si>
    <t>25201100000</t>
  </si>
  <si>
    <t>м. Чернігів</t>
  </si>
  <si>
    <t>25202100000</t>
  </si>
  <si>
    <t>м. Ніжин</t>
  </si>
  <si>
    <t>25203100000</t>
  </si>
  <si>
    <t>м. Прилуки</t>
  </si>
  <si>
    <t>25204100000</t>
  </si>
  <si>
    <t>м. Новгород-Сіверський</t>
  </si>
  <si>
    <t>25301200000</t>
  </si>
  <si>
    <t>Бахмацький р-н</t>
  </si>
  <si>
    <t>25302200000</t>
  </si>
  <si>
    <t>Бобровицький р-н</t>
  </si>
  <si>
    <t>25303200000</t>
  </si>
  <si>
    <t>Борзнянський р-н</t>
  </si>
  <si>
    <t>25304200000</t>
  </si>
  <si>
    <t>Варвинський р-н</t>
  </si>
  <si>
    <t>25305200000</t>
  </si>
  <si>
    <t>Городнянський р-н</t>
  </si>
  <si>
    <t>25306200000</t>
  </si>
  <si>
    <t>Ічнянський р-н</t>
  </si>
  <si>
    <t>25307200000</t>
  </si>
  <si>
    <t>Козелецький  р-н</t>
  </si>
  <si>
    <t>25308200000</t>
  </si>
  <si>
    <t>Коропський р-н</t>
  </si>
  <si>
    <t>25309200000</t>
  </si>
  <si>
    <t>Корюківський р-н</t>
  </si>
  <si>
    <t>25310200000</t>
  </si>
  <si>
    <t>Куликівський р-н</t>
  </si>
  <si>
    <t>25311200000</t>
  </si>
  <si>
    <t>Менський р-н</t>
  </si>
  <si>
    <t>25312200000</t>
  </si>
  <si>
    <t>Ніжинський р-н</t>
  </si>
  <si>
    <t>25313200000</t>
  </si>
  <si>
    <t>Новгород-Сіверський р-н</t>
  </si>
  <si>
    <t>25314200000</t>
  </si>
  <si>
    <t>Носівський р-н</t>
  </si>
  <si>
    <t>25315200000</t>
  </si>
  <si>
    <t>Прилуцький р-н</t>
  </si>
  <si>
    <t>25316200000</t>
  </si>
  <si>
    <t>Ріпкинський р-н</t>
  </si>
  <si>
    <t>25317200000</t>
  </si>
  <si>
    <t>25318200000</t>
  </si>
  <si>
    <t>Сосницький р-н</t>
  </si>
  <si>
    <t>25319200000</t>
  </si>
  <si>
    <t>Срібнянський р-н</t>
  </si>
  <si>
    <t>25320200000</t>
  </si>
  <si>
    <t>Талалаївський р-н</t>
  </si>
  <si>
    <t>25321200000</t>
  </si>
  <si>
    <t>25322200000</t>
  </si>
  <si>
    <r>
      <t xml:space="preserve">Сновський р-н </t>
    </r>
    <r>
      <rPr>
        <sz val="10"/>
        <color indexed="10"/>
        <rFont val="Times New Roman"/>
        <family val="1"/>
      </rPr>
      <t>(Щорський)</t>
    </r>
  </si>
  <si>
    <t>25501000000</t>
  </si>
  <si>
    <t>отг Вертіївська  (Ніжинський район)</t>
  </si>
  <si>
    <t>25502000000</t>
  </si>
  <si>
    <t>отг Деснянська  (Козелецький район)</t>
  </si>
  <si>
    <t>25503000000</t>
  </si>
  <si>
    <t>отг Кіптівська  (Козелецький район)</t>
  </si>
  <si>
    <t>25504000000</t>
  </si>
  <si>
    <t>отг Макіївська  (Носівський район)</t>
  </si>
  <si>
    <t>25505000000</t>
  </si>
  <si>
    <t>отг Парафіївська  (Ічнянський район)</t>
  </si>
  <si>
    <t>26000000000</t>
  </si>
  <si>
    <t>Зведений бюджет  міста Києва</t>
  </si>
  <si>
    <t>Разом по бюджетах адміністративно-територіальних одиницях</t>
  </si>
  <si>
    <t>Резерв:</t>
  </si>
  <si>
    <t>Непідконтрольні території Донецької та Луганської областей</t>
  </si>
  <si>
    <t>З урахуваням резерву:</t>
  </si>
  <si>
    <t>коефіцієнти для екстренної мед допомоги (міста)</t>
  </si>
  <si>
    <t>коефіцієнти для екстренної мед допомоги (райони)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</si>
</sst>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[Red]\-#,##0.00\ "/>
    <numFmt numFmtId="173" formatCode="0.0"/>
    <numFmt numFmtId="174" formatCode="#,##0.0;[Red]#,##0.0"/>
    <numFmt numFmtId="175" formatCode="#,##0.0"/>
    <numFmt numFmtId="176" formatCode="#,##0.000"/>
    <numFmt numFmtId="177" formatCode="0.000"/>
    <numFmt numFmtId="178" formatCode="0.0000"/>
    <numFmt numFmtId="179" formatCode="_(* #,##0.00_);_(* \(#,##0.00\);_(* &quot;-&quot;??_);_(@_)"/>
    <numFmt numFmtId="180" formatCode="0.000000000"/>
    <numFmt numFmtId="181" formatCode="#,##0.00000000000_ ;[Red]\-#,##0.00000000000\ "/>
    <numFmt numFmtId="182" formatCode="#,##0.000_ ;[Red]\-#,##0.000\ "/>
  </numFmts>
  <fonts count="64">
    <font>
      <sz val="10"/>
      <name val="Arial"/>
      <family val="2"/>
    </font>
    <font>
      <sz val="8"/>
      <color indexed="8"/>
      <name val="Tahoma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color indexed="62"/>
      <name val="Times New Roman Cyr"/>
      <family val="0"/>
    </font>
    <font>
      <sz val="10"/>
      <color indexed="8"/>
      <name val="Times New Roman Cyr"/>
      <family val="0"/>
    </font>
    <font>
      <sz val="10"/>
      <color indexed="62"/>
      <name val="Times New Roman Cyr"/>
      <family val="0"/>
    </font>
    <font>
      <b/>
      <sz val="20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 Cyr"/>
      <family val="0"/>
    </font>
    <font>
      <b/>
      <sz val="9"/>
      <name val="Tahoma"/>
      <family val="0"/>
    </font>
    <font>
      <sz val="9"/>
      <name val="Tahoma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theme="1"/>
      <name val="Calibri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3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8" fillId="0" borderId="0">
      <alignment/>
      <protection/>
    </xf>
    <xf numFmtId="0" fontId="27" fillId="0" borderId="0">
      <alignment/>
      <protection/>
    </xf>
    <xf numFmtId="0" fontId="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1" fillId="0" borderId="0">
      <alignment/>
      <protection/>
    </xf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83" applyFont="1" applyFill="1">
      <alignment/>
      <protection/>
    </xf>
    <xf numFmtId="0" fontId="2" fillId="0" borderId="0" xfId="83" applyFont="1" applyFill="1" applyAlignment="1">
      <alignment horizontal="center" vertical="center"/>
      <protection/>
    </xf>
    <xf numFmtId="0" fontId="3" fillId="0" borderId="0" xfId="83" applyFont="1" applyFill="1" applyAlignment="1">
      <alignment horizontal="center" vertical="center" wrapText="1"/>
      <protection/>
    </xf>
    <xf numFmtId="0" fontId="3" fillId="33" borderId="0" xfId="83" applyFont="1" applyFill="1" applyAlignment="1">
      <alignment horizontal="center" vertical="center" wrapText="1"/>
      <protection/>
    </xf>
    <xf numFmtId="0" fontId="3" fillId="33" borderId="0" xfId="83" applyFont="1" applyFill="1" applyBorder="1" applyAlignment="1">
      <alignment horizontal="center" vertical="center" wrapText="1"/>
      <protection/>
    </xf>
    <xf numFmtId="0" fontId="4" fillId="33" borderId="0" xfId="83" applyFont="1" applyFill="1" applyBorder="1" applyAlignment="1">
      <alignment horizontal="center" vertical="center" wrapText="1"/>
      <protection/>
    </xf>
    <xf numFmtId="0" fontId="5" fillId="33" borderId="0" xfId="83" applyFont="1" applyFill="1" applyBorder="1" applyAlignment="1">
      <alignment horizontal="center" vertical="center"/>
      <protection/>
    </xf>
    <xf numFmtId="0" fontId="3" fillId="33" borderId="0" xfId="83" applyFont="1" applyFill="1" applyBorder="1" applyAlignment="1">
      <alignment horizontal="center" vertical="center"/>
      <protection/>
    </xf>
    <xf numFmtId="0" fontId="6" fillId="0" borderId="0" xfId="83" applyFont="1" applyFill="1" applyBorder="1" applyAlignment="1">
      <alignment/>
      <protection/>
    </xf>
    <xf numFmtId="0" fontId="7" fillId="33" borderId="0" xfId="83" applyFont="1" applyFill="1" applyBorder="1" applyAlignment="1">
      <alignment/>
      <protection/>
    </xf>
    <xf numFmtId="0" fontId="6" fillId="33" borderId="0" xfId="83" applyFont="1" applyFill="1" applyBorder="1" applyAlignment="1">
      <alignment/>
      <protection/>
    </xf>
    <xf numFmtId="172" fontId="4" fillId="0" borderId="0" xfId="83" applyNumberFormat="1" applyFont="1" applyFill="1" applyAlignment="1">
      <alignment horizontal="center"/>
      <protection/>
    </xf>
    <xf numFmtId="0" fontId="9" fillId="33" borderId="0" xfId="83" applyFont="1" applyFill="1" applyAlignment="1">
      <alignment horizontal="center" vertical="center" wrapText="1"/>
      <protection/>
    </xf>
    <xf numFmtId="0" fontId="4" fillId="33" borderId="0" xfId="83" applyFont="1" applyFill="1" applyAlignment="1">
      <alignment horizontal="center" vertical="center" wrapText="1"/>
      <protection/>
    </xf>
    <xf numFmtId="0" fontId="5" fillId="33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horizontal="center" vertical="center" wrapText="1"/>
      <protection/>
    </xf>
    <xf numFmtId="0" fontId="3" fillId="0" borderId="0" xfId="83" applyFont="1" applyFill="1" applyBorder="1" applyAlignment="1">
      <alignment horizontal="center" vertical="center" wrapText="1"/>
      <protection/>
    </xf>
    <xf numFmtId="0" fontId="9" fillId="33" borderId="0" xfId="83" applyFont="1" applyFill="1" applyBorder="1" applyAlignment="1">
      <alignment horizontal="center" vertical="center" wrapText="1"/>
      <protection/>
    </xf>
    <xf numFmtId="0" fontId="5" fillId="33" borderId="0" xfId="83" applyFont="1" applyFill="1" applyBorder="1" applyAlignment="1">
      <alignment horizontal="center" vertical="center" wrapText="1"/>
      <protection/>
    </xf>
    <xf numFmtId="0" fontId="4" fillId="0" borderId="0" xfId="83" applyFont="1" applyFill="1" applyBorder="1" applyAlignment="1">
      <alignment horizontal="center" vertical="center" wrapText="1"/>
      <protection/>
    </xf>
    <xf numFmtId="0" fontId="3" fillId="0" borderId="0" xfId="83" applyFont="1" applyFill="1" applyAlignment="1">
      <alignment horizontal="left"/>
      <protection/>
    </xf>
    <xf numFmtId="173" fontId="9" fillId="0" borderId="0" xfId="83" applyNumberFormat="1" applyFont="1" applyFill="1" applyAlignment="1">
      <alignment wrapText="1"/>
      <protection/>
    </xf>
    <xf numFmtId="0" fontId="10" fillId="0" borderId="0" xfId="83" applyFont="1" applyFill="1" applyBorder="1">
      <alignment/>
      <protection/>
    </xf>
    <xf numFmtId="0" fontId="2" fillId="0" borderId="0" xfId="83" applyFont="1" applyFill="1" applyBorder="1" applyAlignment="1">
      <alignment horizontal="center"/>
      <protection/>
    </xf>
    <xf numFmtId="173" fontId="3" fillId="0" borderId="0" xfId="83" applyNumberFormat="1" applyFont="1" applyFill="1" applyAlignment="1">
      <alignment horizontal="center" vertical="center"/>
      <protection/>
    </xf>
    <xf numFmtId="173" fontId="3" fillId="33" borderId="0" xfId="83" applyNumberFormat="1" applyFont="1" applyFill="1" applyAlignment="1">
      <alignment horizontal="center" vertical="center"/>
      <protection/>
    </xf>
    <xf numFmtId="0" fontId="3" fillId="33" borderId="0" xfId="83" applyFont="1" applyFill="1" applyAlignment="1">
      <alignment horizontal="center" vertical="center"/>
      <protection/>
    </xf>
    <xf numFmtId="0" fontId="2" fillId="0" borderId="0" xfId="83" applyFont="1" applyFill="1" applyBorder="1">
      <alignment/>
      <protection/>
    </xf>
    <xf numFmtId="0" fontId="2" fillId="33" borderId="0" xfId="83" applyFont="1" applyFill="1" applyBorder="1">
      <alignment/>
      <protection/>
    </xf>
    <xf numFmtId="172" fontId="3" fillId="0" borderId="0" xfId="83" applyNumberFormat="1" applyFont="1" applyFill="1" applyAlignment="1">
      <alignment horizontal="center"/>
      <protection/>
    </xf>
    <xf numFmtId="174" fontId="3" fillId="34" borderId="0" xfId="83" applyNumberFormat="1" applyFont="1" applyFill="1" applyAlignment="1">
      <alignment wrapText="1"/>
      <protection/>
    </xf>
    <xf numFmtId="175" fontId="3" fillId="34" borderId="0" xfId="83" applyNumberFormat="1" applyFont="1" applyFill="1" applyAlignment="1">
      <alignment wrapText="1"/>
      <protection/>
    </xf>
    <xf numFmtId="173" fontId="2" fillId="0" borderId="0" xfId="83" applyNumberFormat="1" applyFont="1" applyFill="1" applyBorder="1" applyAlignment="1">
      <alignment horizontal="center"/>
      <protection/>
    </xf>
    <xf numFmtId="173" fontId="2" fillId="33" borderId="0" xfId="83" applyNumberFormat="1" applyFont="1" applyFill="1" applyBorder="1" applyAlignment="1">
      <alignment horizontal="center"/>
      <protection/>
    </xf>
    <xf numFmtId="175" fontId="3" fillId="33" borderId="10" xfId="83" applyNumberFormat="1" applyFont="1" applyFill="1" applyBorder="1">
      <alignment/>
      <protection/>
    </xf>
    <xf numFmtId="172" fontId="3" fillId="0" borderId="0" xfId="83" applyNumberFormat="1" applyFont="1" applyFill="1" applyBorder="1" applyAlignment="1">
      <alignment horizontal="center"/>
      <protection/>
    </xf>
    <xf numFmtId="0" fontId="2" fillId="0" borderId="11" xfId="83" applyFont="1" applyFill="1" applyBorder="1">
      <alignment/>
      <protection/>
    </xf>
    <xf numFmtId="0" fontId="3" fillId="0" borderId="11" xfId="82" applyFont="1" applyFill="1" applyBorder="1" applyAlignment="1">
      <alignment horizontal="right"/>
      <protection/>
    </xf>
    <xf numFmtId="0" fontId="3" fillId="0" borderId="11" xfId="33" applyFont="1" applyFill="1" applyBorder="1" applyAlignment="1">
      <alignment horizontal="right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/>
      <protection/>
    </xf>
    <xf numFmtId="0" fontId="12" fillId="0" borderId="11" xfId="33" applyFont="1" applyFill="1" applyBorder="1" applyAlignment="1">
      <alignment horizontal="left" vertical="center" wrapText="1"/>
      <protection/>
    </xf>
    <xf numFmtId="176" fontId="12" fillId="0" borderId="11" xfId="0" applyNumberFormat="1" applyFont="1" applyFill="1" applyBorder="1" applyAlignment="1">
      <alignment horizontal="center" vertical="center"/>
    </xf>
    <xf numFmtId="4" fontId="3" fillId="0" borderId="11" xfId="83" applyNumberFormat="1" applyFont="1" applyFill="1" applyBorder="1">
      <alignment/>
      <protection/>
    </xf>
    <xf numFmtId="4" fontId="3" fillId="0" borderId="11" xfId="83" applyNumberFormat="1" applyFont="1" applyFill="1" applyBorder="1" applyAlignment="1">
      <alignment horizontal="center"/>
      <protection/>
    </xf>
    <xf numFmtId="175" fontId="3" fillId="0" borderId="11" xfId="83" applyNumberFormat="1" applyFont="1" applyFill="1" applyBorder="1" applyAlignment="1">
      <alignment horizontal="center"/>
      <protection/>
    </xf>
    <xf numFmtId="176" fontId="3" fillId="0" borderId="11" xfId="83" applyNumberFormat="1" applyFont="1" applyFill="1" applyBorder="1" applyAlignment="1">
      <alignment horizontal="center"/>
      <protection/>
    </xf>
    <xf numFmtId="176" fontId="3" fillId="33" borderId="11" xfId="83" applyNumberFormat="1" applyFont="1" applyFill="1" applyBorder="1" applyAlignment="1">
      <alignment horizontal="center"/>
      <protection/>
    </xf>
    <xf numFmtId="175" fontId="3" fillId="33" borderId="11" xfId="83" applyNumberFormat="1" applyFont="1" applyFill="1" applyBorder="1">
      <alignment/>
      <protection/>
    </xf>
    <xf numFmtId="175" fontId="3" fillId="33" borderId="11" xfId="83" applyNumberFormat="1" applyFont="1" applyFill="1" applyBorder="1" applyAlignment="1">
      <alignment horizontal="center"/>
      <protection/>
    </xf>
    <xf numFmtId="175" fontId="3" fillId="0" borderId="0" xfId="83" applyNumberFormat="1" applyFont="1" applyFill="1" applyBorder="1" applyAlignment="1">
      <alignment horizontal="center"/>
      <protection/>
    </xf>
    <xf numFmtId="0" fontId="2" fillId="0" borderId="11" xfId="82" applyFont="1" applyFill="1" applyBorder="1" applyAlignment="1">
      <alignment horizontal="right"/>
      <protection/>
    </xf>
    <xf numFmtId="0" fontId="2" fillId="0" borderId="11" xfId="33" applyFont="1" applyFill="1" applyBorder="1" applyAlignment="1">
      <alignment horizontal="right"/>
      <protection/>
    </xf>
    <xf numFmtId="0" fontId="2" fillId="0" borderId="11" xfId="33" applyFont="1" applyFill="1" applyBorder="1" applyAlignment="1">
      <alignment horizontal="center" vertical="center"/>
      <protection/>
    </xf>
    <xf numFmtId="49" fontId="2" fillId="0" borderId="11" xfId="33" applyNumberFormat="1" applyFont="1" applyFill="1" applyBorder="1" applyAlignment="1">
      <alignment horizontal="center"/>
      <protection/>
    </xf>
    <xf numFmtId="0" fontId="13" fillId="0" borderId="11" xfId="33" applyFont="1" applyFill="1" applyBorder="1" applyAlignment="1">
      <alignment horizontal="left" wrapText="1"/>
      <protection/>
    </xf>
    <xf numFmtId="176" fontId="2" fillId="0" borderId="11" xfId="83" applyNumberFormat="1" applyFont="1" applyFill="1" applyBorder="1">
      <alignment/>
      <protection/>
    </xf>
    <xf numFmtId="173" fontId="2" fillId="0" borderId="11" xfId="83" applyNumberFormat="1" applyFont="1" applyFill="1" applyBorder="1" applyAlignment="1">
      <alignment horizontal="center"/>
      <protection/>
    </xf>
    <xf numFmtId="175" fontId="2" fillId="0" borderId="11" xfId="83" applyNumberFormat="1" applyFont="1" applyFill="1" applyBorder="1" applyAlignment="1">
      <alignment horizontal="center"/>
      <protection/>
    </xf>
    <xf numFmtId="176" fontId="2" fillId="0" borderId="11" xfId="83" applyNumberFormat="1" applyFont="1" applyFill="1" applyBorder="1" applyAlignment="1">
      <alignment horizontal="center"/>
      <protection/>
    </xf>
    <xf numFmtId="175" fontId="3" fillId="0" borderId="11" xfId="83" applyNumberFormat="1" applyFont="1" applyFill="1" applyBorder="1">
      <alignment/>
      <protection/>
    </xf>
    <xf numFmtId="175" fontId="2" fillId="0" borderId="11" xfId="83" applyNumberFormat="1" applyFont="1" applyFill="1" applyBorder="1">
      <alignment/>
      <protection/>
    </xf>
    <xf numFmtId="175" fontId="2" fillId="33" borderId="11" xfId="83" applyNumberFormat="1" applyFont="1" applyFill="1" applyBorder="1">
      <alignment/>
      <protection/>
    </xf>
    <xf numFmtId="4" fontId="2" fillId="0" borderId="11" xfId="83" applyNumberFormat="1" applyFont="1" applyFill="1" applyBorder="1" applyAlignment="1">
      <alignment horizontal="right"/>
      <protection/>
    </xf>
    <xf numFmtId="4" fontId="3" fillId="0" borderId="0" xfId="83" applyNumberFormat="1" applyFont="1" applyFill="1" applyBorder="1" applyAlignment="1">
      <alignment horizontal="center"/>
      <protection/>
    </xf>
    <xf numFmtId="0" fontId="12" fillId="0" borderId="11" xfId="33" applyFont="1" applyFill="1" applyBorder="1" applyAlignment="1">
      <alignment wrapText="1"/>
      <protection/>
    </xf>
    <xf numFmtId="4" fontId="14" fillId="0" borderId="11" xfId="83" applyNumberFormat="1" applyFont="1" applyFill="1" applyBorder="1">
      <alignment/>
      <protection/>
    </xf>
    <xf numFmtId="176" fontId="14" fillId="0" borderId="11" xfId="83" applyNumberFormat="1" applyFont="1" applyFill="1" applyBorder="1">
      <alignment/>
      <protection/>
    </xf>
    <xf numFmtId="4" fontId="14" fillId="0" borderId="11" xfId="83" applyNumberFormat="1" applyFont="1" applyFill="1" applyBorder="1" applyAlignment="1">
      <alignment horizontal="center"/>
      <protection/>
    </xf>
    <xf numFmtId="176" fontId="14" fillId="0" borderId="11" xfId="83" applyNumberFormat="1" applyFont="1" applyFill="1" applyBorder="1" applyAlignment="1">
      <alignment horizontal="center"/>
      <protection/>
    </xf>
    <xf numFmtId="176" fontId="14" fillId="33" borderId="11" xfId="83" applyNumberFormat="1" applyFont="1" applyFill="1" applyBorder="1" applyAlignment="1">
      <alignment horizontal="center"/>
      <protection/>
    </xf>
    <xf numFmtId="175" fontId="14" fillId="33" borderId="11" xfId="83" applyNumberFormat="1" applyFont="1" applyFill="1" applyBorder="1">
      <alignment/>
      <protection/>
    </xf>
    <xf numFmtId="4" fontId="14" fillId="0" borderId="0" xfId="83" applyNumberFormat="1" applyFont="1" applyFill="1" applyBorder="1" applyAlignment="1">
      <alignment horizontal="center"/>
      <protection/>
    </xf>
    <xf numFmtId="0" fontId="15" fillId="0" borderId="11" xfId="33" applyFont="1" applyFill="1" applyBorder="1" applyAlignment="1">
      <alignment horizontal="left" wrapText="1"/>
      <protection/>
    </xf>
    <xf numFmtId="176" fontId="2" fillId="33" borderId="11" xfId="83" applyNumberFormat="1" applyFont="1" applyFill="1" applyBorder="1" applyAlignment="1">
      <alignment horizontal="center"/>
      <protection/>
    </xf>
    <xf numFmtId="175" fontId="2" fillId="0" borderId="11" xfId="83" applyNumberFormat="1" applyFont="1" applyFill="1" applyBorder="1" applyAlignment="1">
      <alignment/>
      <protection/>
    </xf>
    <xf numFmtId="175" fontId="2" fillId="33" borderId="11" xfId="83" applyNumberFormat="1" applyFont="1" applyFill="1" applyBorder="1" applyAlignment="1">
      <alignment/>
      <protection/>
    </xf>
    <xf numFmtId="0" fontId="16" fillId="0" borderId="11" xfId="33" applyFont="1" applyFill="1" applyBorder="1" applyAlignment="1">
      <alignment horizontal="left" wrapText="1"/>
      <protection/>
    </xf>
    <xf numFmtId="0" fontId="12" fillId="0" borderId="11" xfId="33" applyFont="1" applyFill="1" applyBorder="1" applyAlignment="1">
      <alignment horizontal="left" wrapText="1"/>
      <protection/>
    </xf>
    <xf numFmtId="175" fontId="14" fillId="0" borderId="11" xfId="83" applyNumberFormat="1" applyFont="1" applyFill="1" applyBorder="1" applyAlignment="1">
      <alignment horizontal="center"/>
      <protection/>
    </xf>
    <xf numFmtId="175" fontId="14" fillId="0" borderId="11" xfId="83" applyNumberFormat="1" applyFont="1" applyFill="1" applyBorder="1">
      <alignment/>
      <protection/>
    </xf>
    <xf numFmtId="0" fontId="14" fillId="0" borderId="0" xfId="83" applyFont="1" applyFill="1">
      <alignment/>
      <protection/>
    </xf>
    <xf numFmtId="176" fontId="2" fillId="0" borderId="11" xfId="71" applyNumberFormat="1" applyFont="1" applyFill="1" applyBorder="1" applyAlignment="1">
      <alignment horizontal="right"/>
      <protection/>
    </xf>
    <xf numFmtId="176" fontId="2" fillId="33" borderId="11" xfId="71" applyNumberFormat="1" applyFont="1" applyFill="1" applyBorder="1" applyAlignment="1">
      <alignment horizontal="center"/>
      <protection/>
    </xf>
    <xf numFmtId="175" fontId="14" fillId="33" borderId="11" xfId="71" applyNumberFormat="1" applyFont="1" applyFill="1" applyBorder="1" applyAlignment="1">
      <alignment horizontal="right"/>
      <protection/>
    </xf>
    <xf numFmtId="176" fontId="3" fillId="0" borderId="0" xfId="71" applyNumberFormat="1" applyFont="1" applyFill="1" applyBorder="1" applyAlignment="1">
      <alignment horizontal="center"/>
      <protection/>
    </xf>
    <xf numFmtId="0" fontId="18" fillId="0" borderId="11" xfId="33" applyFont="1" applyFill="1" applyBorder="1" applyAlignment="1">
      <alignment horizontal="right"/>
      <protection/>
    </xf>
    <xf numFmtId="0" fontId="18" fillId="0" borderId="11" xfId="33" applyFont="1" applyFill="1" applyBorder="1" applyAlignment="1">
      <alignment horizontal="center"/>
      <protection/>
    </xf>
    <xf numFmtId="0" fontId="13" fillId="0" borderId="11" xfId="33" applyFont="1" applyFill="1" applyBorder="1" applyAlignment="1">
      <alignment horizontal="center"/>
      <protection/>
    </xf>
    <xf numFmtId="0" fontId="13" fillId="0" borderId="11" xfId="33" applyFont="1" applyFill="1" applyBorder="1" applyAlignment="1">
      <alignment horizontal="left" vertical="top" wrapText="1"/>
      <protection/>
    </xf>
    <xf numFmtId="0" fontId="3" fillId="35" borderId="0" xfId="83" applyFont="1" applyFill="1">
      <alignment/>
      <protection/>
    </xf>
    <xf numFmtId="0" fontId="3" fillId="0" borderId="11" xfId="82" applyFont="1" applyFill="1" applyBorder="1" applyAlignment="1">
      <alignment/>
      <protection/>
    </xf>
    <xf numFmtId="0" fontId="3" fillId="0" borderId="11" xfId="33" applyFont="1" applyFill="1" applyBorder="1" applyAlignment="1">
      <alignment/>
      <protection/>
    </xf>
    <xf numFmtId="0" fontId="3" fillId="0" borderId="11" xfId="33" applyFont="1" applyFill="1" applyBorder="1" applyAlignment="1">
      <alignment vertical="center"/>
      <protection/>
    </xf>
    <xf numFmtId="0" fontId="2" fillId="0" borderId="11" xfId="33" applyFont="1" applyFill="1" applyBorder="1" applyAlignment="1">
      <alignment/>
      <protection/>
    </xf>
    <xf numFmtId="0" fontId="3" fillId="0" borderId="11" xfId="33" applyFont="1" applyFill="1" applyBorder="1" applyAlignment="1">
      <alignment wrapText="1"/>
      <protection/>
    </xf>
    <xf numFmtId="175" fontId="3" fillId="0" borderId="11" xfId="33" applyNumberFormat="1" applyFont="1" applyFill="1" applyBorder="1" applyAlignment="1">
      <alignment wrapText="1"/>
      <protection/>
    </xf>
    <xf numFmtId="176" fontId="3" fillId="0" borderId="11" xfId="33" applyNumberFormat="1" applyFont="1" applyFill="1" applyBorder="1" applyAlignment="1">
      <alignment wrapText="1"/>
      <protection/>
    </xf>
    <xf numFmtId="176" fontId="3" fillId="33" borderId="11" xfId="33" applyNumberFormat="1" applyFont="1" applyFill="1" applyBorder="1" applyAlignment="1">
      <alignment horizontal="center" wrapText="1"/>
      <protection/>
    </xf>
    <xf numFmtId="175" fontId="14" fillId="33" borderId="11" xfId="33" applyNumberFormat="1" applyFont="1" applyFill="1" applyBorder="1" applyAlignment="1">
      <alignment horizontal="center" wrapText="1"/>
      <protection/>
    </xf>
    <xf numFmtId="175" fontId="3" fillId="0" borderId="0" xfId="33" applyNumberFormat="1" applyFont="1" applyFill="1" applyBorder="1" applyAlignment="1">
      <alignment horizontal="center" wrapText="1"/>
      <protection/>
    </xf>
    <xf numFmtId="0" fontId="2" fillId="0" borderId="0" xfId="83" applyFont="1" applyFill="1" applyAlignment="1">
      <alignment/>
      <protection/>
    </xf>
    <xf numFmtId="0" fontId="2" fillId="0" borderId="11" xfId="83" applyFont="1" applyFill="1" applyBorder="1" applyAlignment="1">
      <alignment horizontal="center"/>
      <protection/>
    </xf>
    <xf numFmtId="0" fontId="2" fillId="36" borderId="11" xfId="82" applyFont="1" applyFill="1" applyBorder="1" applyAlignment="1">
      <alignment horizontal="right"/>
      <protection/>
    </xf>
    <xf numFmtId="0" fontId="2" fillId="36" borderId="11" xfId="33" applyFont="1" applyFill="1" applyBorder="1" applyAlignment="1">
      <alignment horizontal="right"/>
      <protection/>
    </xf>
    <xf numFmtId="0" fontId="2" fillId="36" borderId="11" xfId="33" applyFont="1" applyFill="1" applyBorder="1" applyAlignment="1">
      <alignment horizontal="center" vertical="center"/>
      <protection/>
    </xf>
    <xf numFmtId="0" fontId="13" fillId="36" borderId="11" xfId="33" applyFont="1" applyFill="1" applyBorder="1" applyAlignment="1">
      <alignment horizontal="center" vertical="top"/>
      <protection/>
    </xf>
    <xf numFmtId="0" fontId="13" fillId="36" borderId="11" xfId="33" applyFont="1" applyFill="1" applyBorder="1" applyAlignment="1">
      <alignment horizontal="left" wrapText="1"/>
      <protection/>
    </xf>
    <xf numFmtId="176" fontId="12" fillId="36" borderId="11" xfId="0" applyNumberFormat="1" applyFont="1" applyFill="1" applyBorder="1" applyAlignment="1">
      <alignment horizontal="center" vertical="center"/>
    </xf>
    <xf numFmtId="0" fontId="2" fillId="36" borderId="11" xfId="83" applyFont="1" applyFill="1" applyBorder="1">
      <alignment/>
      <protection/>
    </xf>
    <xf numFmtId="0" fontId="2" fillId="36" borderId="11" xfId="83" applyFont="1" applyFill="1" applyBorder="1" applyAlignment="1">
      <alignment horizontal="center"/>
      <protection/>
    </xf>
    <xf numFmtId="175" fontId="2" fillId="36" borderId="11" xfId="83" applyNumberFormat="1" applyFont="1" applyFill="1" applyBorder="1" applyAlignment="1">
      <alignment horizontal="center"/>
      <protection/>
    </xf>
    <xf numFmtId="176" fontId="2" fillId="36" borderId="11" xfId="83" applyNumberFormat="1" applyFont="1" applyFill="1" applyBorder="1" applyAlignment="1">
      <alignment horizontal="center"/>
      <protection/>
    </xf>
    <xf numFmtId="175" fontId="2" fillId="36" borderId="11" xfId="83" applyNumberFormat="1" applyFont="1" applyFill="1" applyBorder="1">
      <alignment/>
      <protection/>
    </xf>
    <xf numFmtId="4" fontId="2" fillId="36" borderId="11" xfId="83" applyNumberFormat="1" applyFont="1" applyFill="1" applyBorder="1" applyAlignment="1">
      <alignment horizontal="right"/>
      <protection/>
    </xf>
    <xf numFmtId="4" fontId="3" fillId="36" borderId="11" xfId="83" applyNumberFormat="1" applyFont="1" applyFill="1" applyBorder="1" applyAlignment="1">
      <alignment horizontal="center"/>
      <protection/>
    </xf>
    <xf numFmtId="4" fontId="3" fillId="36" borderId="0" xfId="83" applyNumberFormat="1" applyFont="1" applyFill="1" applyBorder="1" applyAlignment="1">
      <alignment horizontal="center"/>
      <protection/>
    </xf>
    <xf numFmtId="0" fontId="3" fillId="36" borderId="0" xfId="83" applyFont="1" applyFill="1">
      <alignment/>
      <protection/>
    </xf>
    <xf numFmtId="49" fontId="13" fillId="36" borderId="11" xfId="33" applyNumberFormat="1" applyFont="1" applyFill="1" applyBorder="1" applyAlignment="1">
      <alignment horizontal="center" vertical="top"/>
      <protection/>
    </xf>
    <xf numFmtId="4" fontId="2" fillId="36" borderId="0" xfId="83" applyNumberFormat="1" applyFont="1" applyFill="1" applyBorder="1" applyAlignment="1">
      <alignment horizontal="right"/>
      <protection/>
    </xf>
    <xf numFmtId="0" fontId="2" fillId="36" borderId="0" xfId="83" applyFont="1" applyFill="1">
      <alignment/>
      <protection/>
    </xf>
    <xf numFmtId="176" fontId="2" fillId="0" borderId="11" xfId="71" applyNumberFormat="1" applyFont="1" applyFill="1" applyBorder="1" applyAlignment="1">
      <alignment horizontal="center"/>
      <protection/>
    </xf>
    <xf numFmtId="175" fontId="2" fillId="0" borderId="11" xfId="71" applyNumberFormat="1" applyFont="1" applyFill="1" applyBorder="1" applyAlignment="1">
      <alignment horizontal="center"/>
      <protection/>
    </xf>
    <xf numFmtId="176" fontId="19" fillId="33" borderId="11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49" fontId="13" fillId="0" borderId="11" xfId="33" applyNumberFormat="1" applyFont="1" applyFill="1" applyBorder="1" applyAlignment="1">
      <alignment horizontal="center" vertical="top"/>
      <protection/>
    </xf>
    <xf numFmtId="175" fontId="12" fillId="0" borderId="11" xfId="0" applyNumberFormat="1" applyFont="1" applyFill="1" applyBorder="1" applyAlignment="1">
      <alignment horizontal="left" wrapText="1"/>
    </xf>
    <xf numFmtId="176" fontId="20" fillId="0" borderId="11" xfId="83" applyNumberFormat="1" applyFont="1" applyFill="1" applyBorder="1">
      <alignment/>
      <protection/>
    </xf>
    <xf numFmtId="0" fontId="20" fillId="0" borderId="0" xfId="83" applyFont="1" applyFill="1">
      <alignment/>
      <protection/>
    </xf>
    <xf numFmtId="176" fontId="14" fillId="33" borderId="11" xfId="71" applyNumberFormat="1" applyFont="1" applyFill="1" applyBorder="1" applyAlignment="1">
      <alignment horizontal="center"/>
      <protection/>
    </xf>
    <xf numFmtId="175" fontId="2" fillId="0" borderId="11" xfId="71" applyNumberFormat="1" applyFont="1" applyFill="1" applyBorder="1" applyAlignment="1">
      <alignment horizontal="right"/>
      <protection/>
    </xf>
    <xf numFmtId="175" fontId="2" fillId="33" borderId="11" xfId="71" applyNumberFormat="1" applyFont="1" applyFill="1" applyBorder="1" applyAlignment="1">
      <alignment horizontal="right"/>
      <protection/>
    </xf>
    <xf numFmtId="4" fontId="2" fillId="0" borderId="11" xfId="71" applyNumberFormat="1" applyFont="1" applyFill="1" applyBorder="1" applyAlignment="1">
      <alignment horizontal="right"/>
      <protection/>
    </xf>
    <xf numFmtId="4" fontId="3" fillId="0" borderId="11" xfId="71" applyNumberFormat="1" applyFont="1" applyFill="1" applyBorder="1" applyAlignment="1">
      <alignment horizontal="center"/>
      <protection/>
    </xf>
    <xf numFmtId="4" fontId="3" fillId="0" borderId="0" xfId="71" applyNumberFormat="1" applyFont="1" applyFill="1" applyBorder="1" applyAlignment="1">
      <alignment horizontal="center"/>
      <protection/>
    </xf>
    <xf numFmtId="176" fontId="12" fillId="33" borderId="11" xfId="0" applyNumberFormat="1" applyFont="1" applyFill="1" applyBorder="1" applyAlignment="1">
      <alignment horizontal="center" vertical="center"/>
    </xf>
    <xf numFmtId="0" fontId="16" fillId="0" borderId="11" xfId="82" applyFont="1" applyFill="1" applyBorder="1" applyAlignment="1">
      <alignment horizontal="left" wrapText="1"/>
      <protection/>
    </xf>
    <xf numFmtId="0" fontId="10" fillId="0" borderId="11" xfId="82" applyFont="1" applyFill="1" applyBorder="1" applyAlignment="1">
      <alignment horizontal="right"/>
      <protection/>
    </xf>
    <xf numFmtId="0" fontId="2" fillId="33" borderId="0" xfId="83" applyFont="1" applyFill="1">
      <alignment/>
      <protection/>
    </xf>
    <xf numFmtId="0" fontId="13" fillId="33" borderId="11" xfId="33" applyFont="1" applyFill="1" applyBorder="1" applyAlignment="1">
      <alignment horizontal="center" vertical="top"/>
      <protection/>
    </xf>
    <xf numFmtId="173" fontId="2" fillId="0" borderId="11" xfId="83" applyNumberFormat="1" applyFont="1" applyFill="1" applyBorder="1" applyAlignment="1">
      <alignment horizontal="center" vertical="center"/>
      <protection/>
    </xf>
    <xf numFmtId="0" fontId="22" fillId="0" borderId="11" xfId="82" applyFont="1" applyFill="1" applyBorder="1" applyAlignment="1">
      <alignment horizontal="right"/>
      <protection/>
    </xf>
    <xf numFmtId="0" fontId="22" fillId="0" borderId="11" xfId="33" applyFont="1" applyFill="1" applyBorder="1" applyAlignment="1">
      <alignment horizontal="right"/>
      <protection/>
    </xf>
    <xf numFmtId="0" fontId="22" fillId="0" borderId="11" xfId="33" applyFont="1" applyFill="1" applyBorder="1" applyAlignment="1">
      <alignment horizontal="center"/>
      <protection/>
    </xf>
    <xf numFmtId="0" fontId="18" fillId="0" borderId="11" xfId="82" applyFont="1" applyFill="1" applyBorder="1" applyAlignment="1">
      <alignment horizontal="right"/>
      <protection/>
    </xf>
    <xf numFmtId="0" fontId="13" fillId="0" borderId="11" xfId="33" applyFont="1" applyFill="1" applyBorder="1" applyAlignment="1">
      <alignment horizontal="right"/>
      <protection/>
    </xf>
    <xf numFmtId="0" fontId="2" fillId="35" borderId="0" xfId="83" applyFont="1" applyFill="1">
      <alignment/>
      <protection/>
    </xf>
    <xf numFmtId="49" fontId="3" fillId="0" borderId="11" xfId="33" applyNumberFormat="1" applyFont="1" applyFill="1" applyBorder="1" applyAlignment="1">
      <alignment horizontal="center"/>
      <protection/>
    </xf>
    <xf numFmtId="176" fontId="3" fillId="0" borderId="11" xfId="71" applyNumberFormat="1" applyFont="1" applyFill="1" applyBorder="1" applyAlignment="1">
      <alignment horizontal="right"/>
      <protection/>
    </xf>
    <xf numFmtId="176" fontId="3" fillId="0" borderId="11" xfId="71" applyNumberFormat="1" applyFont="1" applyFill="1" applyBorder="1" applyAlignment="1">
      <alignment horizontal="center"/>
      <protection/>
    </xf>
    <xf numFmtId="175" fontId="3" fillId="0" borderId="11" xfId="71" applyNumberFormat="1" applyFont="1" applyFill="1" applyBorder="1" applyAlignment="1">
      <alignment horizontal="center"/>
      <protection/>
    </xf>
    <xf numFmtId="176" fontId="3" fillId="33" borderId="11" xfId="71" applyNumberFormat="1" applyFont="1" applyFill="1" applyBorder="1" applyAlignment="1">
      <alignment horizontal="center"/>
      <protection/>
    </xf>
    <xf numFmtId="175" fontId="3" fillId="0" borderId="0" xfId="71" applyNumberFormat="1" applyFont="1" applyFill="1" applyBorder="1" applyAlignment="1">
      <alignment horizontal="center"/>
      <protection/>
    </xf>
    <xf numFmtId="0" fontId="3" fillId="0" borderId="0" xfId="83" applyFont="1" applyFill="1">
      <alignment/>
      <protection/>
    </xf>
    <xf numFmtId="0" fontId="2" fillId="0" borderId="0" xfId="83" applyFont="1" applyFill="1" applyAlignment="1">
      <alignment wrapText="1"/>
      <protection/>
    </xf>
    <xf numFmtId="0" fontId="6" fillId="0" borderId="0" xfId="83" applyFont="1" applyFill="1">
      <alignment/>
      <protection/>
    </xf>
    <xf numFmtId="0" fontId="13" fillId="36" borderId="11" xfId="33" applyFont="1" applyFill="1" applyBorder="1" applyAlignment="1">
      <alignment horizontal="left" vertical="top" wrapText="1"/>
      <protection/>
    </xf>
    <xf numFmtId="176" fontId="2" fillId="36" borderId="11" xfId="83" applyNumberFormat="1" applyFont="1" applyFill="1" applyBorder="1">
      <alignment/>
      <protection/>
    </xf>
    <xf numFmtId="173" fontId="2" fillId="36" borderId="11" xfId="83" applyNumberFormat="1" applyFont="1" applyFill="1" applyBorder="1" applyAlignment="1">
      <alignment horizontal="center"/>
      <protection/>
    </xf>
    <xf numFmtId="175" fontId="2" fillId="36" borderId="11" xfId="83" applyNumberFormat="1" applyFont="1" applyFill="1" applyBorder="1" applyAlignment="1">
      <alignment/>
      <protection/>
    </xf>
    <xf numFmtId="0" fontId="2" fillId="0" borderId="11" xfId="82" applyFont="1" applyFill="1" applyBorder="1" applyAlignment="1">
      <alignment horizontal="right" wrapText="1"/>
      <protection/>
    </xf>
    <xf numFmtId="176" fontId="2" fillId="0" borderId="11" xfId="83" applyNumberFormat="1" applyFont="1" applyFill="1" applyBorder="1" applyAlignment="1">
      <alignment wrapText="1"/>
      <protection/>
    </xf>
    <xf numFmtId="175" fontId="19" fillId="33" borderId="11" xfId="0" applyNumberFormat="1" applyFont="1" applyFill="1" applyBorder="1" applyAlignment="1">
      <alignment horizontal="right" vertical="center"/>
    </xf>
    <xf numFmtId="49" fontId="13" fillId="33" borderId="11" xfId="33" applyNumberFormat="1" applyFont="1" applyFill="1" applyBorder="1" applyAlignment="1">
      <alignment horizontal="center" vertical="top"/>
      <protection/>
    </xf>
    <xf numFmtId="0" fontId="2" fillId="36" borderId="0" xfId="83" applyFont="1" applyFill="1" applyAlignment="1">
      <alignment wrapText="1"/>
      <protection/>
    </xf>
    <xf numFmtId="0" fontId="3" fillId="0" borderId="11" xfId="82" applyFont="1" applyFill="1" applyBorder="1" applyAlignment="1">
      <alignment horizontal="left" vertical="center"/>
      <protection/>
    </xf>
    <xf numFmtId="0" fontId="3" fillId="0" borderId="11" xfId="33" applyFont="1" applyFill="1" applyBorder="1" applyAlignment="1">
      <alignment horizontal="left" vertical="center"/>
      <protection/>
    </xf>
    <xf numFmtId="175" fontId="12" fillId="0" borderId="11" xfId="0" applyNumberFormat="1" applyFont="1" applyFill="1" applyBorder="1" applyAlignment="1">
      <alignment horizontal="left" vertical="center" wrapText="1"/>
    </xf>
    <xf numFmtId="49" fontId="13" fillId="0" borderId="11" xfId="33" applyNumberFormat="1" applyFont="1" applyFill="1" applyBorder="1" applyAlignment="1">
      <alignment horizontal="center"/>
      <protection/>
    </xf>
    <xf numFmtId="0" fontId="3" fillId="0" borderId="11" xfId="82" applyFont="1" applyFill="1" applyBorder="1" applyAlignment="1">
      <alignment horizontal="right" vertical="center"/>
      <protection/>
    </xf>
    <xf numFmtId="49" fontId="2" fillId="0" borderId="11" xfId="33" applyNumberFormat="1" applyFont="1" applyFill="1" applyBorder="1" applyAlignment="1">
      <alignment horizontal="right"/>
      <protection/>
    </xf>
    <xf numFmtId="4" fontId="2" fillId="37" borderId="11" xfId="83" applyNumberFormat="1" applyFont="1" applyFill="1" applyBorder="1" applyAlignment="1">
      <alignment horizontal="right"/>
      <protection/>
    </xf>
    <xf numFmtId="0" fontId="3" fillId="33" borderId="11" xfId="82" applyFont="1" applyFill="1" applyBorder="1" applyAlignment="1">
      <alignment horizontal="right" vertical="center"/>
      <protection/>
    </xf>
    <xf numFmtId="0" fontId="3" fillId="33" borderId="11" xfId="33" applyFont="1" applyFill="1" applyBorder="1" applyAlignment="1">
      <alignment horizontal="left" vertical="center"/>
      <protection/>
    </xf>
    <xf numFmtId="0" fontId="3" fillId="33" borderId="11" xfId="33" applyFont="1" applyFill="1" applyBorder="1" applyAlignment="1">
      <alignment horizontal="center" vertical="center"/>
      <protection/>
    </xf>
    <xf numFmtId="49" fontId="2" fillId="33" borderId="11" xfId="33" applyNumberFormat="1" applyFont="1" applyFill="1" applyBorder="1" applyAlignment="1">
      <alignment horizontal="center"/>
      <protection/>
    </xf>
    <xf numFmtId="175" fontId="12" fillId="33" borderId="11" xfId="0" applyNumberFormat="1" applyFont="1" applyFill="1" applyBorder="1" applyAlignment="1">
      <alignment horizontal="left" vertical="center" wrapText="1"/>
    </xf>
    <xf numFmtId="4" fontId="3" fillId="33" borderId="11" xfId="83" applyNumberFormat="1" applyFont="1" applyFill="1" applyBorder="1">
      <alignment/>
      <protection/>
    </xf>
    <xf numFmtId="4" fontId="3" fillId="33" borderId="11" xfId="83" applyNumberFormat="1" applyFont="1" applyFill="1" applyBorder="1" applyAlignment="1">
      <alignment horizontal="center"/>
      <protection/>
    </xf>
    <xf numFmtId="175" fontId="3" fillId="33" borderId="0" xfId="83" applyNumberFormat="1" applyFont="1" applyFill="1" applyBorder="1" applyAlignment="1">
      <alignment horizontal="center"/>
      <protection/>
    </xf>
    <xf numFmtId="0" fontId="2" fillId="37" borderId="0" xfId="83" applyFont="1" applyFill="1">
      <alignment/>
      <protection/>
    </xf>
    <xf numFmtId="0" fontId="22" fillId="33" borderId="11" xfId="82" applyFont="1" applyFill="1" applyBorder="1" applyAlignment="1">
      <alignment horizontal="right"/>
      <protection/>
    </xf>
    <xf numFmtId="0" fontId="22" fillId="33" borderId="11" xfId="33" applyFont="1" applyFill="1" applyBorder="1" applyAlignment="1">
      <alignment horizontal="right"/>
      <protection/>
    </xf>
    <xf numFmtId="0" fontId="22" fillId="33" borderId="11" xfId="33" applyFont="1" applyFill="1" applyBorder="1" applyAlignment="1">
      <alignment horizontal="center"/>
      <protection/>
    </xf>
    <xf numFmtId="49" fontId="13" fillId="33" borderId="11" xfId="33" applyNumberFormat="1" applyFont="1" applyFill="1" applyBorder="1" applyAlignment="1">
      <alignment horizontal="center"/>
      <protection/>
    </xf>
    <xf numFmtId="0" fontId="12" fillId="33" borderId="11" xfId="33" applyFont="1" applyFill="1" applyBorder="1" applyAlignment="1">
      <alignment horizontal="left" wrapText="1"/>
      <protection/>
    </xf>
    <xf numFmtId="176" fontId="2" fillId="33" borderId="11" xfId="71" applyNumberFormat="1" applyFont="1" applyFill="1" applyBorder="1" applyAlignment="1">
      <alignment horizontal="right"/>
      <protection/>
    </xf>
    <xf numFmtId="173" fontId="2" fillId="33" borderId="11" xfId="83" applyNumberFormat="1" applyFont="1" applyFill="1" applyBorder="1" applyAlignment="1">
      <alignment horizontal="center"/>
      <protection/>
    </xf>
    <xf numFmtId="175" fontId="2" fillId="33" borderId="11" xfId="83" applyNumberFormat="1" applyFont="1" applyFill="1" applyBorder="1" applyAlignment="1">
      <alignment horizontal="center"/>
      <protection/>
    </xf>
    <xf numFmtId="1" fontId="2" fillId="0" borderId="11" xfId="82" applyNumberFormat="1" applyFont="1" applyFill="1" applyBorder="1" applyAlignment="1">
      <alignment horizontal="right" vertical="center" wrapText="1"/>
      <protection/>
    </xf>
    <xf numFmtId="1" fontId="16" fillId="0" borderId="11" xfId="82" applyNumberFormat="1" applyFont="1" applyFill="1" applyBorder="1" applyAlignment="1">
      <alignment horizontal="left" vertical="center" wrapText="1"/>
      <protection/>
    </xf>
    <xf numFmtId="1" fontId="15" fillId="0" borderId="11" xfId="82" applyNumberFormat="1" applyFont="1" applyFill="1" applyBorder="1" applyAlignment="1">
      <alignment horizontal="left" vertical="center" wrapText="1"/>
      <protection/>
    </xf>
    <xf numFmtId="175" fontId="14" fillId="0" borderId="0" xfId="83" applyNumberFormat="1" applyFont="1" applyFill="1" applyBorder="1" applyAlignment="1">
      <alignment horizontal="center"/>
      <protection/>
    </xf>
    <xf numFmtId="0" fontId="14" fillId="36" borderId="0" xfId="83" applyFont="1" applyFill="1">
      <alignment/>
      <protection/>
    </xf>
    <xf numFmtId="0" fontId="20" fillId="36" borderId="0" xfId="83" applyFont="1" applyFill="1">
      <alignment/>
      <protection/>
    </xf>
    <xf numFmtId="1" fontId="13" fillId="0" borderId="11" xfId="82" applyNumberFormat="1" applyFont="1" applyFill="1" applyBorder="1" applyAlignment="1">
      <alignment horizontal="left" vertical="center" wrapText="1"/>
      <protection/>
    </xf>
    <xf numFmtId="175" fontId="3" fillId="0" borderId="0" xfId="83" applyNumberFormat="1" applyFont="1" applyFill="1" applyBorder="1">
      <alignment/>
      <protection/>
    </xf>
    <xf numFmtId="0" fontId="18" fillId="36" borderId="11" xfId="33" applyFont="1" applyFill="1" applyBorder="1" applyAlignment="1">
      <alignment horizontal="center"/>
      <protection/>
    </xf>
    <xf numFmtId="0" fontId="2" fillId="35" borderId="0" xfId="83" applyFont="1" applyFill="1" applyAlignment="1">
      <alignment wrapText="1"/>
      <protection/>
    </xf>
    <xf numFmtId="0" fontId="6" fillId="0" borderId="0" xfId="83" applyFont="1" applyFill="1" applyAlignment="1">
      <alignment wrapText="1"/>
      <protection/>
    </xf>
    <xf numFmtId="0" fontId="3" fillId="0" borderId="0" xfId="83" applyFont="1" applyFill="1" applyAlignment="1">
      <alignment wrapText="1"/>
      <protection/>
    </xf>
    <xf numFmtId="0" fontId="3" fillId="33" borderId="0" xfId="83" applyFont="1" applyFill="1">
      <alignment/>
      <protection/>
    </xf>
    <xf numFmtId="3" fontId="3" fillId="0" borderId="11" xfId="0" applyNumberFormat="1" applyFont="1" applyFill="1" applyBorder="1" applyAlignment="1">
      <alignment/>
    </xf>
    <xf numFmtId="175" fontId="3" fillId="0" borderId="11" xfId="0" applyNumberFormat="1" applyFont="1" applyFill="1" applyBorder="1" applyAlignment="1">
      <alignment/>
    </xf>
    <xf numFmtId="175" fontId="3" fillId="0" borderId="11" xfId="0" applyNumberFormat="1" applyFont="1" applyFill="1" applyBorder="1" applyAlignment="1">
      <alignment horizontal="center" vertical="center"/>
    </xf>
    <xf numFmtId="176" fontId="3" fillId="0" borderId="11" xfId="83" applyNumberFormat="1" applyFont="1" applyFill="1" applyBorder="1" applyAlignment="1">
      <alignment wrapText="1"/>
      <protection/>
    </xf>
    <xf numFmtId="175" fontId="3" fillId="0" borderId="11" xfId="0" applyNumberFormat="1" applyFont="1" applyFill="1" applyBorder="1" applyAlignment="1">
      <alignment horizontal="left" vertical="center" wrapText="1"/>
    </xf>
    <xf numFmtId="4" fontId="3" fillId="0" borderId="11" xfId="83" applyNumberFormat="1" applyFont="1" applyFill="1" applyBorder="1" applyAlignment="1">
      <alignment wrapText="1"/>
      <protection/>
    </xf>
    <xf numFmtId="173" fontId="3" fillId="0" borderId="11" xfId="83" applyNumberFormat="1" applyFont="1" applyFill="1" applyBorder="1" applyAlignment="1">
      <alignment horizontal="center" wrapText="1"/>
      <protection/>
    </xf>
    <xf numFmtId="175" fontId="3" fillId="0" borderId="11" xfId="83" applyNumberFormat="1" applyFont="1" applyFill="1" applyBorder="1" applyAlignment="1">
      <alignment horizontal="center" wrapText="1"/>
      <protection/>
    </xf>
    <xf numFmtId="176" fontId="3" fillId="0" borderId="11" xfId="83" applyNumberFormat="1" applyFont="1" applyFill="1" applyBorder="1" applyAlignment="1">
      <alignment horizontal="center" wrapText="1"/>
      <protection/>
    </xf>
    <xf numFmtId="176" fontId="3" fillId="33" borderId="11" xfId="83" applyNumberFormat="1" applyFont="1" applyFill="1" applyBorder="1" applyAlignment="1">
      <alignment horizontal="center" wrapText="1"/>
      <protection/>
    </xf>
    <xf numFmtId="175" fontId="3" fillId="33" borderId="11" xfId="83" applyNumberFormat="1" applyFont="1" applyFill="1" applyBorder="1" applyAlignment="1">
      <alignment wrapText="1"/>
      <protection/>
    </xf>
    <xf numFmtId="175" fontId="3" fillId="0" borderId="11" xfId="83" applyNumberFormat="1" applyFont="1" applyFill="1" applyBorder="1" applyAlignment="1">
      <alignment wrapText="1"/>
      <protection/>
    </xf>
    <xf numFmtId="4" fontId="3" fillId="0" borderId="11" xfId="83" applyNumberFormat="1" applyFont="1" applyFill="1" applyBorder="1" applyAlignment="1">
      <alignment horizontal="right" wrapText="1"/>
      <protection/>
    </xf>
    <xf numFmtId="4" fontId="3" fillId="0" borderId="11" xfId="83" applyNumberFormat="1" applyFont="1" applyFill="1" applyBorder="1" applyAlignment="1">
      <alignment horizontal="center" wrapText="1"/>
      <protection/>
    </xf>
    <xf numFmtId="4" fontId="3" fillId="0" borderId="0" xfId="83" applyNumberFormat="1" applyFont="1" applyFill="1" applyBorder="1" applyAlignment="1">
      <alignment horizontal="center" wrapText="1"/>
      <protection/>
    </xf>
    <xf numFmtId="175" fontId="2" fillId="0" borderId="0" xfId="83" applyNumberFormat="1" applyFont="1" applyFill="1">
      <alignment/>
      <protection/>
    </xf>
    <xf numFmtId="0" fontId="2" fillId="0" borderId="0" xfId="83" applyFont="1" applyFill="1" applyAlignment="1">
      <alignment horizontal="left"/>
      <protection/>
    </xf>
    <xf numFmtId="0" fontId="2" fillId="0" borderId="0" xfId="83" applyFont="1" applyFill="1" applyAlignment="1">
      <alignment horizontal="center"/>
      <protection/>
    </xf>
    <xf numFmtId="0" fontId="2" fillId="33" borderId="0" xfId="83" applyFont="1" applyFill="1" applyAlignment="1">
      <alignment horizontal="center"/>
      <protection/>
    </xf>
    <xf numFmtId="175" fontId="2" fillId="33" borderId="0" xfId="83" applyNumberFormat="1" applyFont="1" applyFill="1" applyAlignment="1">
      <alignment horizontal="left"/>
      <protection/>
    </xf>
    <xf numFmtId="0" fontId="2" fillId="33" borderId="0" xfId="83" applyFont="1" applyFill="1" applyAlignment="1">
      <alignment horizontal="left"/>
      <protection/>
    </xf>
    <xf numFmtId="4" fontId="3" fillId="0" borderId="11" xfId="83" applyNumberFormat="1" applyFont="1" applyFill="1" applyBorder="1" applyAlignment="1">
      <alignment horizontal="left" wrapText="1"/>
      <protection/>
    </xf>
    <xf numFmtId="4" fontId="4" fillId="0" borderId="11" xfId="83" applyNumberFormat="1" applyFont="1" applyFill="1" applyBorder="1" applyAlignment="1">
      <alignment horizontal="left" wrapText="1"/>
      <protection/>
    </xf>
    <xf numFmtId="4" fontId="4" fillId="0" borderId="11" xfId="83" applyNumberFormat="1" applyFont="1" applyFill="1" applyBorder="1" applyAlignment="1">
      <alignment horizontal="center" wrapText="1"/>
      <protection/>
    </xf>
    <xf numFmtId="177" fontId="3" fillId="0" borderId="0" xfId="83" applyNumberFormat="1" applyFont="1" applyFill="1" applyBorder="1" applyAlignment="1">
      <alignment horizontal="center"/>
      <protection/>
    </xf>
    <xf numFmtId="178" fontId="2" fillId="0" borderId="0" xfId="83" applyNumberFormat="1" applyFont="1" applyFill="1" applyBorder="1" applyAlignment="1">
      <alignment horizontal="center"/>
      <protection/>
    </xf>
    <xf numFmtId="173" fontId="3" fillId="33" borderId="0" xfId="83" applyNumberFormat="1" applyFont="1" applyFill="1" applyBorder="1" applyAlignment="1">
      <alignment horizontal="center" wrapText="1"/>
      <protection/>
    </xf>
    <xf numFmtId="173" fontId="3" fillId="0" borderId="0" xfId="83" applyNumberFormat="1" applyFont="1" applyFill="1" applyBorder="1" applyAlignment="1">
      <alignment horizontal="center" wrapText="1"/>
      <protection/>
    </xf>
    <xf numFmtId="0" fontId="3" fillId="0" borderId="0" xfId="83" applyFont="1" applyFill="1" applyBorder="1" applyAlignment="1">
      <alignment horizontal="center"/>
      <protection/>
    </xf>
    <xf numFmtId="0" fontId="4" fillId="0" borderId="0" xfId="83" applyFont="1" applyFill="1" applyBorder="1" applyAlignment="1">
      <alignment horizontal="center"/>
      <protection/>
    </xf>
    <xf numFmtId="177" fontId="4" fillId="0" borderId="0" xfId="83" applyNumberFormat="1" applyFont="1" applyFill="1" applyBorder="1" applyAlignment="1">
      <alignment horizontal="center"/>
      <protection/>
    </xf>
    <xf numFmtId="178" fontId="7" fillId="0" borderId="0" xfId="83" applyNumberFormat="1" applyFont="1" applyFill="1" applyBorder="1" applyAlignment="1">
      <alignment horizontal="center"/>
      <protection/>
    </xf>
    <xf numFmtId="173" fontId="7" fillId="0" borderId="0" xfId="83" applyNumberFormat="1" applyFont="1" applyFill="1" applyBorder="1" applyAlignment="1">
      <alignment horizontal="center"/>
      <protection/>
    </xf>
    <xf numFmtId="173" fontId="24" fillId="33" borderId="0" xfId="83" applyNumberFormat="1" applyFont="1" applyFill="1" applyBorder="1" applyAlignment="1">
      <alignment horizontal="center"/>
      <protection/>
    </xf>
    <xf numFmtId="173" fontId="4" fillId="33" borderId="0" xfId="83" applyNumberFormat="1" applyFont="1" applyFill="1" applyBorder="1" applyAlignment="1">
      <alignment horizontal="center" wrapText="1"/>
      <protection/>
    </xf>
    <xf numFmtId="173" fontId="4" fillId="0" borderId="0" xfId="83" applyNumberFormat="1" applyFont="1" applyFill="1" applyBorder="1" applyAlignment="1">
      <alignment horizontal="center" wrapText="1"/>
      <protection/>
    </xf>
    <xf numFmtId="178" fontId="6" fillId="0" borderId="0" xfId="83" applyNumberFormat="1" applyFont="1" applyFill="1" applyBorder="1">
      <alignment/>
      <protection/>
    </xf>
    <xf numFmtId="0" fontId="3" fillId="0" borderId="0" xfId="83" applyFont="1" applyFill="1" applyAlignment="1">
      <alignment horizontal="center" wrapText="1"/>
      <protection/>
    </xf>
    <xf numFmtId="172" fontId="4" fillId="33" borderId="0" xfId="83" applyNumberFormat="1" applyFont="1" applyFill="1" applyAlignment="1">
      <alignment wrapText="1"/>
      <protection/>
    </xf>
    <xf numFmtId="2" fontId="7" fillId="0" borderId="0" xfId="83" applyNumberFormat="1" applyFont="1" applyFill="1" applyBorder="1" applyAlignment="1">
      <alignment horizontal="center"/>
      <protection/>
    </xf>
    <xf numFmtId="173" fontId="6" fillId="33" borderId="0" xfId="83" applyNumberFormat="1" applyFont="1" applyFill="1" applyBorder="1">
      <alignment/>
      <protection/>
    </xf>
    <xf numFmtId="173" fontId="2" fillId="33" borderId="0" xfId="83" applyNumberFormat="1" applyFont="1" applyFill="1" applyBorder="1">
      <alignment/>
      <protection/>
    </xf>
    <xf numFmtId="173" fontId="6" fillId="0" borderId="0" xfId="83" applyNumberFormat="1" applyFont="1" applyFill="1" applyBorder="1">
      <alignment/>
      <protection/>
    </xf>
    <xf numFmtId="172" fontId="6" fillId="33" borderId="0" xfId="92" applyNumberFormat="1" applyFont="1" applyFill="1" applyAlignment="1">
      <alignment/>
    </xf>
    <xf numFmtId="0" fontId="3" fillId="0" borderId="0" xfId="83" applyFont="1" applyFill="1" applyAlignment="1">
      <alignment horizontal="center"/>
      <protection/>
    </xf>
    <xf numFmtId="2" fontId="4" fillId="0" borderId="0" xfId="83" applyNumberFormat="1" applyFont="1" applyFill="1" applyBorder="1" applyAlignment="1">
      <alignment horizontal="center"/>
      <protection/>
    </xf>
    <xf numFmtId="180" fontId="7" fillId="0" borderId="0" xfId="83" applyNumberFormat="1" applyFont="1" applyFill="1" applyBorder="1" applyAlignment="1">
      <alignment horizontal="center"/>
      <protection/>
    </xf>
    <xf numFmtId="181" fontId="6" fillId="33" borderId="0" xfId="83" applyNumberFormat="1" applyFont="1" applyFill="1">
      <alignment/>
      <protection/>
    </xf>
    <xf numFmtId="182" fontId="24" fillId="33" borderId="0" xfId="83" applyNumberFormat="1" applyFont="1" applyFill="1" applyAlignment="1">
      <alignment horizontal="center"/>
      <protection/>
    </xf>
    <xf numFmtId="172" fontId="6" fillId="33" borderId="0" xfId="83" applyNumberFormat="1" applyFont="1" applyFill="1">
      <alignment/>
      <protection/>
    </xf>
    <xf numFmtId="173" fontId="6" fillId="0" borderId="12" xfId="83" applyNumberFormat="1" applyFont="1" applyFill="1" applyBorder="1" applyAlignment="1">
      <alignment horizontal="center"/>
      <protection/>
    </xf>
    <xf numFmtId="0" fontId="7" fillId="0" borderId="0" xfId="83" applyFont="1" applyFill="1" applyBorder="1" applyAlignment="1">
      <alignment horizontal="center"/>
      <protection/>
    </xf>
    <xf numFmtId="0" fontId="6" fillId="0" borderId="0" xfId="83" applyFont="1" applyFill="1" applyBorder="1">
      <alignment/>
      <protection/>
    </xf>
    <xf numFmtId="0" fontId="6" fillId="33" borderId="0" xfId="83" applyFont="1" applyFill="1" applyBorder="1">
      <alignment/>
      <protection/>
    </xf>
    <xf numFmtId="173" fontId="6" fillId="0" borderId="13" xfId="83" applyNumberFormat="1" applyFont="1" applyFill="1" applyBorder="1" applyAlignment="1">
      <alignment horizontal="center"/>
      <protection/>
    </xf>
    <xf numFmtId="173" fontId="3" fillId="33" borderId="0" xfId="83" applyNumberFormat="1" applyFont="1" applyFill="1" applyBorder="1" applyAlignment="1">
      <alignment horizontal="left" wrapText="1"/>
      <protection/>
    </xf>
    <xf numFmtId="172" fontId="6" fillId="0" borderId="0" xfId="83" applyNumberFormat="1" applyFont="1" applyFill="1">
      <alignment/>
      <protection/>
    </xf>
    <xf numFmtId="0" fontId="2" fillId="0" borderId="0" xfId="84" applyFont="1" applyFill="1" applyBorder="1">
      <alignment/>
      <protection/>
    </xf>
    <xf numFmtId="176" fontId="3" fillId="0" borderId="0" xfId="83" applyNumberFormat="1" applyFont="1" applyFill="1" applyBorder="1" applyAlignment="1">
      <alignment horizontal="center"/>
      <protection/>
    </xf>
    <xf numFmtId="180" fontId="24" fillId="33" borderId="0" xfId="83" applyNumberFormat="1" applyFont="1" applyFill="1" applyBorder="1" applyAlignment="1">
      <alignment horizontal="center"/>
      <protection/>
    </xf>
    <xf numFmtId="173" fontId="3" fillId="0" borderId="0" xfId="83" applyNumberFormat="1" applyFont="1" applyFill="1" applyBorder="1" applyAlignment="1">
      <alignment horizontal="center"/>
      <protection/>
    </xf>
    <xf numFmtId="173" fontId="3" fillId="33" borderId="0" xfId="83" applyNumberFormat="1" applyFont="1" applyFill="1" applyBorder="1" applyAlignment="1">
      <alignment horizontal="left" vertical="center"/>
      <protection/>
    </xf>
    <xf numFmtId="173" fontId="4" fillId="0" borderId="0" xfId="83" applyNumberFormat="1" applyFont="1" applyFill="1" applyBorder="1" applyAlignment="1">
      <alignment horizontal="center"/>
      <protection/>
    </xf>
    <xf numFmtId="175" fontId="6" fillId="0" borderId="0" xfId="83" applyNumberFormat="1" applyFont="1" applyFill="1" applyBorder="1">
      <alignment/>
      <protection/>
    </xf>
    <xf numFmtId="4" fontId="2" fillId="33" borderId="0" xfId="83" applyNumberFormat="1" applyFont="1" applyFill="1">
      <alignment/>
      <protection/>
    </xf>
    <xf numFmtId="0" fontId="24" fillId="33" borderId="0" xfId="83" applyFont="1" applyFill="1" applyBorder="1" applyAlignment="1">
      <alignment horizontal="center"/>
      <protection/>
    </xf>
    <xf numFmtId="173" fontId="2" fillId="0" borderId="0" xfId="83" applyNumberFormat="1" applyFont="1" applyFill="1">
      <alignment/>
      <protection/>
    </xf>
    <xf numFmtId="0" fontId="6" fillId="0" borderId="0" xfId="83" applyFont="1" applyFill="1" applyBorder="1" applyAlignment="1">
      <alignment horizontal="center"/>
      <protection/>
    </xf>
    <xf numFmtId="0" fontId="7" fillId="33" borderId="0" xfId="83" applyFont="1" applyFill="1" applyBorder="1" applyAlignment="1">
      <alignment horizontal="center"/>
      <protection/>
    </xf>
    <xf numFmtId="0" fontId="7" fillId="33" borderId="0" xfId="83" applyFont="1" applyFill="1" applyBorder="1">
      <alignment/>
      <protection/>
    </xf>
    <xf numFmtId="0" fontId="7" fillId="0" borderId="0" xfId="83" applyFont="1" applyFill="1" applyBorder="1">
      <alignment/>
      <protection/>
    </xf>
    <xf numFmtId="0" fontId="8" fillId="33" borderId="0" xfId="83" applyFont="1" applyFill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255" wrapText="1"/>
    </xf>
    <xf numFmtId="0" fontId="2" fillId="0" borderId="11" xfId="83" applyFont="1" applyFill="1" applyBorder="1" applyAlignment="1">
      <alignment horizontal="center" vertical="center" wrapText="1"/>
      <protection/>
    </xf>
    <xf numFmtId="0" fontId="2" fillId="0" borderId="11" xfId="83" applyFont="1" applyFill="1" applyBorder="1" applyAlignment="1">
      <alignment horizontal="center"/>
      <protection/>
    </xf>
    <xf numFmtId="0" fontId="2" fillId="34" borderId="11" xfId="83" applyFont="1" applyFill="1" applyBorder="1" applyAlignment="1">
      <alignment horizontal="center" vertical="center" wrapText="1"/>
      <protection/>
    </xf>
    <xf numFmtId="0" fontId="10" fillId="34" borderId="11" xfId="83" applyFont="1" applyFill="1" applyBorder="1" applyAlignment="1">
      <alignment horizontal="center" vertical="center" wrapText="1"/>
      <protection/>
    </xf>
    <xf numFmtId="0" fontId="2" fillId="33" borderId="11" xfId="8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textRotation="90" wrapText="1"/>
    </xf>
    <xf numFmtId="172" fontId="3" fillId="0" borderId="11" xfId="83" applyNumberFormat="1" applyFont="1" applyFill="1" applyBorder="1" applyAlignment="1">
      <alignment horizontal="center" vertical="center" wrapText="1"/>
      <protection/>
    </xf>
    <xf numFmtId="172" fontId="3" fillId="0" borderId="14" xfId="83" applyNumberFormat="1" applyFont="1" applyFill="1" applyBorder="1" applyAlignment="1">
      <alignment horizontal="center" vertical="center" wrapText="1"/>
      <protection/>
    </xf>
    <xf numFmtId="172" fontId="3" fillId="0" borderId="15" xfId="83" applyNumberFormat="1" applyFont="1" applyFill="1" applyBorder="1" applyAlignment="1">
      <alignment horizontal="center" vertical="center" wrapText="1"/>
      <protection/>
    </xf>
    <xf numFmtId="172" fontId="3" fillId="0" borderId="16" xfId="83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 2" xfId="60"/>
    <cellStyle name="Звичайний 2 2 2" xfId="61"/>
    <cellStyle name="Звичайний 2 3" xfId="62"/>
    <cellStyle name="Звичайний 2_2017 роз Формула" xfId="63"/>
    <cellStyle name="Звичайний 20" xfId="64"/>
    <cellStyle name="Звичайний 21" xfId="65"/>
    <cellStyle name="Звичайний 22" xfId="66"/>
    <cellStyle name="Звичайний 22 2" xfId="67"/>
    <cellStyle name="Звичайний 22_2017 роз Формула" xfId="68"/>
    <cellStyle name="Звичайний 23" xfId="69"/>
    <cellStyle name="Звичайний 24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Итог" xfId="78"/>
    <cellStyle name="Контрольная ячейка" xfId="79"/>
    <cellStyle name="Название" xfId="80"/>
    <cellStyle name="Нейтральный" xfId="81"/>
    <cellStyle name="Обычный_Лист1" xfId="82"/>
    <cellStyle name="Обычный_розрахунок за пропозиціями МОЗ" xfId="83"/>
    <cellStyle name="Обычный_Розрахунок-18.11.04-з нов.переад.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інансовий 2" xfId="94"/>
    <cellStyle name="Фінансовий 2 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V1039"/>
  <sheetViews>
    <sheetView tabSelected="1" view="pageBreakPreview" zoomScale="85" zoomScaleNormal="70" zoomScaleSheetLayoutView="85" zoomScalePageLayoutView="0" workbookViewId="0" topLeftCell="A1">
      <pane xSplit="5" ySplit="11" topLeftCell="I12" activePane="bottomRight" state="frozen"/>
      <selection pane="topLeft" activeCell="E56" sqref="E56"/>
      <selection pane="topRight" activeCell="E56" sqref="E56"/>
      <selection pane="bottomLeft" activeCell="E56" sqref="E56"/>
      <selection pane="bottomRight" activeCell="N915" sqref="N915"/>
    </sheetView>
  </sheetViews>
  <sheetFormatPr defaultColWidth="9.140625" defaultRowHeight="12.75" outlineLevelCol="1"/>
  <cols>
    <col min="1" max="1" width="4.28125" style="1" hidden="1" customWidth="1"/>
    <col min="2" max="2" width="5.00390625" style="1" hidden="1" customWidth="1"/>
    <col min="3" max="3" width="5.28125" style="2" hidden="1" customWidth="1"/>
    <col min="4" max="4" width="12.57421875" style="1" hidden="1" customWidth="1"/>
    <col min="5" max="5" width="25.8515625" style="1" customWidth="1"/>
    <col min="6" max="6" width="13.7109375" style="1" customWidth="1"/>
    <col min="7" max="7" width="16.140625" style="1" customWidth="1"/>
    <col min="8" max="8" width="14.00390625" style="28" customWidth="1"/>
    <col min="9" max="9" width="12.28125" style="270" customWidth="1"/>
    <col min="10" max="10" width="13.28125" style="270" customWidth="1"/>
    <col min="11" max="11" width="12.00390625" style="254" customWidth="1"/>
    <col min="12" max="12" width="17.421875" style="271" customWidth="1"/>
    <col min="13" max="13" width="13.7109375" style="272" customWidth="1"/>
    <col min="14" max="14" width="16.00390625" style="29" customWidth="1"/>
    <col min="15" max="15" width="10.7109375" style="255" customWidth="1"/>
    <col min="16" max="16" width="26.57421875" style="273" customWidth="1"/>
    <col min="17" max="17" width="10.28125" style="256" customWidth="1"/>
    <col min="18" max="18" width="13.00390625" style="255" customWidth="1"/>
    <col min="19" max="19" width="15.28125" style="256" customWidth="1"/>
    <col min="20" max="20" width="13.421875" style="255" customWidth="1"/>
    <col min="21" max="21" width="16.57421875" style="12" customWidth="1"/>
    <col min="22" max="22" width="16.57421875" style="12" hidden="1" customWidth="1" outlineLevel="1"/>
    <col min="23" max="23" width="9.140625" style="1" customWidth="1" collapsed="1"/>
    <col min="24" max="16384" width="9.140625" style="1" customWidth="1"/>
  </cols>
  <sheetData>
    <row r="1" spans="6:20" ht="12.75">
      <c r="F1" s="3"/>
      <c r="G1" s="4"/>
      <c r="H1" s="5"/>
      <c r="I1" s="6"/>
      <c r="J1" s="6"/>
      <c r="K1" s="7"/>
      <c r="L1" s="7"/>
      <c r="M1" s="7"/>
      <c r="N1" s="8"/>
      <c r="O1" s="9"/>
      <c r="P1" s="10"/>
      <c r="Q1" s="11"/>
      <c r="R1" s="9"/>
      <c r="S1" s="11"/>
      <c r="T1" s="11"/>
    </row>
    <row r="2" spans="6:20" ht="12.75">
      <c r="F2" s="274" t="s">
        <v>0</v>
      </c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</row>
    <row r="3" spans="6:20" ht="12.75"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</row>
    <row r="4" spans="6:20" ht="12.75">
      <c r="F4" s="3"/>
      <c r="G4" s="13"/>
      <c r="H4" s="13"/>
      <c r="I4" s="14"/>
      <c r="J4" s="14"/>
      <c r="K4" s="15"/>
      <c r="L4" s="15"/>
      <c r="M4" s="15"/>
      <c r="N4" s="4"/>
      <c r="O4" s="16"/>
      <c r="P4" s="15"/>
      <c r="Q4" s="14"/>
      <c r="R4" s="16"/>
      <c r="S4" s="14"/>
      <c r="T4" s="14"/>
    </row>
    <row r="5" spans="6:20" ht="12.75">
      <c r="F5" s="17"/>
      <c r="G5" s="18"/>
      <c r="H5" s="18"/>
      <c r="I5" s="6"/>
      <c r="J5" s="6"/>
      <c r="K5" s="19"/>
      <c r="L5" s="19"/>
      <c r="M5" s="19"/>
      <c r="N5" s="5"/>
      <c r="O5" s="20"/>
      <c r="P5" s="19"/>
      <c r="Q5" s="6"/>
      <c r="R5" s="20"/>
      <c r="S5" s="6"/>
      <c r="T5" s="6"/>
    </row>
    <row r="6" spans="6:22" ht="12.75">
      <c r="F6" s="21" t="s">
        <v>1</v>
      </c>
      <c r="G6" s="22"/>
      <c r="H6" s="23"/>
      <c r="I6" s="24"/>
      <c r="J6" s="24"/>
      <c r="K6" s="25"/>
      <c r="L6" s="26"/>
      <c r="M6" s="27"/>
      <c r="N6" s="8"/>
      <c r="O6" s="28"/>
      <c r="P6" s="28"/>
      <c r="Q6" s="29"/>
      <c r="R6" s="28"/>
      <c r="S6" s="29"/>
      <c r="T6" s="28"/>
      <c r="U6" s="30"/>
      <c r="V6" s="30"/>
    </row>
    <row r="7" spans="6:22" ht="12.75" customHeight="1">
      <c r="F7" s="31">
        <f>H7-G7</f>
        <v>45485157.5</v>
      </c>
      <c r="G7" s="32">
        <f>ROUND(H7/100,1)</f>
        <v>459446</v>
      </c>
      <c r="H7" s="31">
        <f>45902212.1+42391.4</f>
        <v>45944603.5</v>
      </c>
      <c r="I7" s="24"/>
      <c r="J7" s="24"/>
      <c r="K7" s="33"/>
      <c r="L7" s="34"/>
      <c r="M7" s="29"/>
      <c r="N7" s="35"/>
      <c r="O7" s="28"/>
      <c r="P7" s="28"/>
      <c r="Q7" s="29"/>
      <c r="R7" s="28"/>
      <c r="S7" s="29"/>
      <c r="T7" s="28"/>
      <c r="U7" s="36"/>
      <c r="V7" s="36"/>
    </row>
    <row r="8" spans="1:22" s="37" customFormat="1" ht="12.75" customHeight="1">
      <c r="A8" s="275" t="s">
        <v>2</v>
      </c>
      <c r="B8" s="276"/>
      <c r="C8" s="277" t="s">
        <v>3</v>
      </c>
      <c r="D8" s="275" t="s">
        <v>4</v>
      </c>
      <c r="E8" s="275" t="s">
        <v>5</v>
      </c>
      <c r="F8" s="278" t="s">
        <v>6</v>
      </c>
      <c r="G8" s="279" t="s">
        <v>7</v>
      </c>
      <c r="H8" s="279"/>
      <c r="I8" s="278" t="s">
        <v>8</v>
      </c>
      <c r="J8" s="278" t="s">
        <v>9</v>
      </c>
      <c r="K8" s="278" t="s">
        <v>10</v>
      </c>
      <c r="L8" s="280" t="s">
        <v>11</v>
      </c>
      <c r="M8" s="280" t="s">
        <v>12</v>
      </c>
      <c r="N8" s="281" t="s">
        <v>13</v>
      </c>
      <c r="O8" s="278" t="s">
        <v>14</v>
      </c>
      <c r="P8" s="278" t="s">
        <v>15</v>
      </c>
      <c r="Q8" s="282" t="s">
        <v>16</v>
      </c>
      <c r="R8" s="278" t="s">
        <v>17</v>
      </c>
      <c r="S8" s="282" t="s">
        <v>18</v>
      </c>
      <c r="T8" s="278" t="s">
        <v>19</v>
      </c>
      <c r="U8" s="284" t="s">
        <v>20</v>
      </c>
      <c r="V8" s="285"/>
    </row>
    <row r="9" spans="1:22" s="37" customFormat="1" ht="38.25" customHeight="1">
      <c r="A9" s="283" t="s">
        <v>21</v>
      </c>
      <c r="B9" s="283" t="s">
        <v>22</v>
      </c>
      <c r="C9" s="277"/>
      <c r="D9" s="275"/>
      <c r="E9" s="275"/>
      <c r="F9" s="278"/>
      <c r="G9" s="278" t="s">
        <v>23</v>
      </c>
      <c r="H9" s="278" t="s">
        <v>24</v>
      </c>
      <c r="I9" s="278"/>
      <c r="J9" s="278"/>
      <c r="K9" s="278"/>
      <c r="L9" s="280"/>
      <c r="M9" s="280"/>
      <c r="N9" s="281"/>
      <c r="O9" s="278"/>
      <c r="P9" s="278"/>
      <c r="Q9" s="282"/>
      <c r="R9" s="278"/>
      <c r="S9" s="282"/>
      <c r="T9" s="278"/>
      <c r="U9" s="284"/>
      <c r="V9" s="286"/>
    </row>
    <row r="10" spans="1:22" s="37" customFormat="1" ht="46.5" customHeight="1">
      <c r="A10" s="283"/>
      <c r="B10" s="283"/>
      <c r="C10" s="277"/>
      <c r="D10" s="275"/>
      <c r="E10" s="275"/>
      <c r="F10" s="278"/>
      <c r="G10" s="278"/>
      <c r="H10" s="278"/>
      <c r="I10" s="278"/>
      <c r="J10" s="278"/>
      <c r="K10" s="278"/>
      <c r="L10" s="280"/>
      <c r="M10" s="280"/>
      <c r="N10" s="281"/>
      <c r="O10" s="278"/>
      <c r="P10" s="278"/>
      <c r="Q10" s="282"/>
      <c r="R10" s="278"/>
      <c r="S10" s="282"/>
      <c r="T10" s="278"/>
      <c r="U10" s="284"/>
      <c r="V10" s="286"/>
    </row>
    <row r="11" spans="1:22" s="37" customFormat="1" ht="66" customHeight="1">
      <c r="A11" s="283"/>
      <c r="B11" s="283"/>
      <c r="C11" s="277"/>
      <c r="D11" s="275"/>
      <c r="E11" s="275"/>
      <c r="F11" s="278"/>
      <c r="G11" s="278"/>
      <c r="H11" s="278"/>
      <c r="I11" s="278"/>
      <c r="J11" s="278"/>
      <c r="K11" s="278"/>
      <c r="L11" s="280"/>
      <c r="M11" s="280"/>
      <c r="N11" s="281"/>
      <c r="O11" s="278"/>
      <c r="P11" s="278"/>
      <c r="Q11" s="282"/>
      <c r="R11" s="278"/>
      <c r="S11" s="282"/>
      <c r="T11" s="278"/>
      <c r="U11" s="284"/>
      <c r="V11" s="287"/>
    </row>
    <row r="12" spans="1:22" s="28" customFormat="1" ht="25.5" hidden="1">
      <c r="A12" s="38" t="s">
        <v>25</v>
      </c>
      <c r="B12" s="39" t="s">
        <v>26</v>
      </c>
      <c r="C12" s="40" t="s">
        <v>27</v>
      </c>
      <c r="D12" s="41"/>
      <c r="E12" s="42" t="s">
        <v>28</v>
      </c>
      <c r="F12" s="43">
        <f>F13+F14+F21+F49</f>
        <v>1602.163</v>
      </c>
      <c r="G12" s="44">
        <f>+G13+G14+G21+G49</f>
        <v>0</v>
      </c>
      <c r="H12" s="44">
        <f>+H13+H14+H21+H49</f>
        <v>0</v>
      </c>
      <c r="I12" s="45"/>
      <c r="J12" s="46"/>
      <c r="K12" s="47"/>
      <c r="L12" s="48">
        <v>1.0210073609149986</v>
      </c>
      <c r="M12" s="49">
        <f aca="true" t="shared" si="0" ref="M12:U12">+M13+M14+M21+M49</f>
        <v>1782479.2999999998</v>
      </c>
      <c r="N12" s="50">
        <f t="shared" si="0"/>
        <v>1782479.2999999998</v>
      </c>
      <c r="O12" s="46">
        <f t="shared" si="0"/>
        <v>0</v>
      </c>
      <c r="P12" s="46">
        <f t="shared" si="0"/>
        <v>2925.9</v>
      </c>
      <c r="Q12" s="46">
        <f t="shared" si="0"/>
        <v>21928</v>
      </c>
      <c r="R12" s="46">
        <f t="shared" si="0"/>
        <v>43880.7</v>
      </c>
      <c r="S12" s="46">
        <f t="shared" si="0"/>
        <v>263.2</v>
      </c>
      <c r="T12" s="46">
        <f t="shared" si="0"/>
        <v>0</v>
      </c>
      <c r="U12" s="46">
        <f t="shared" si="0"/>
        <v>1851477.0999999999</v>
      </c>
      <c r="V12" s="51">
        <v>1757952.9</v>
      </c>
    </row>
    <row r="13" spans="1:22" s="28" customFormat="1" ht="12.75" customHeight="1" hidden="1">
      <c r="A13" s="52" t="s">
        <v>25</v>
      </c>
      <c r="B13" s="53" t="s">
        <v>26</v>
      </c>
      <c r="C13" s="54" t="s">
        <v>29</v>
      </c>
      <c r="D13" s="55" t="s">
        <v>30</v>
      </c>
      <c r="E13" s="56" t="s">
        <v>31</v>
      </c>
      <c r="F13" s="43">
        <v>0</v>
      </c>
      <c r="G13" s="57"/>
      <c r="H13" s="57"/>
      <c r="I13" s="58"/>
      <c r="J13" s="59">
        <f>+($F$7-$O$952-$Q$952-$P$952-R$952-$S$952)/$F$952*0.354*0.951</f>
        <v>376.76602120660414</v>
      </c>
      <c r="K13" s="60">
        <v>0</v>
      </c>
      <c r="L13" s="48">
        <v>1.0210073609149986</v>
      </c>
      <c r="M13" s="49">
        <f>ROUND(J13*(F14+F21+F49)*(0.5+0.5*L13),1)</f>
        <v>609981</v>
      </c>
      <c r="N13" s="49">
        <f>M13+ROUND(SUM(M15:M20)*0.117+SUM(M22:M48)*0.093+SUM(M50:M51)*0.093,1)</f>
        <v>728686</v>
      </c>
      <c r="O13" s="61"/>
      <c r="P13" s="62">
        <v>2925.9</v>
      </c>
      <c r="Q13" s="63">
        <v>21928</v>
      </c>
      <c r="R13" s="62">
        <v>43880.7</v>
      </c>
      <c r="S13" s="63">
        <v>263.2</v>
      </c>
      <c r="T13" s="64"/>
      <c r="U13" s="45">
        <f>N13+O13+P13+Q13+R13+S13+T13</f>
        <v>797683.7999999999</v>
      </c>
      <c r="V13" s="65">
        <v>752599</v>
      </c>
    </row>
    <row r="14" spans="1:22" s="28" customFormat="1" ht="13.5" hidden="1">
      <c r="A14" s="38" t="s">
        <v>32</v>
      </c>
      <c r="B14" s="39" t="s">
        <v>26</v>
      </c>
      <c r="C14" s="40" t="s">
        <v>33</v>
      </c>
      <c r="D14" s="41"/>
      <c r="E14" s="66" t="s">
        <v>34</v>
      </c>
      <c r="F14" s="43">
        <f>SUM(F15:F20)</f>
        <v>517.21</v>
      </c>
      <c r="G14" s="67">
        <f>SUM(G15:G20)</f>
        <v>0</v>
      </c>
      <c r="H14" s="68">
        <f>SUM(H15:H20)</f>
        <v>0</v>
      </c>
      <c r="I14" s="69"/>
      <c r="J14" s="59"/>
      <c r="K14" s="70"/>
      <c r="L14" s="71">
        <v>0.9672558102410448</v>
      </c>
      <c r="M14" s="72">
        <f aca="true" t="shared" si="1" ref="M14:U14">SUM(M15:M20)</f>
        <v>402611.7</v>
      </c>
      <c r="N14" s="72">
        <f t="shared" si="1"/>
        <v>355506.1</v>
      </c>
      <c r="O14" s="72">
        <f t="shared" si="1"/>
        <v>0</v>
      </c>
      <c r="P14" s="72">
        <f t="shared" si="1"/>
        <v>0</v>
      </c>
      <c r="Q14" s="72">
        <f t="shared" si="1"/>
        <v>0</v>
      </c>
      <c r="R14" s="72">
        <f t="shared" si="1"/>
        <v>0</v>
      </c>
      <c r="S14" s="72">
        <f t="shared" si="1"/>
        <v>0</v>
      </c>
      <c r="T14" s="72">
        <f t="shared" si="1"/>
        <v>-43836.899999999994</v>
      </c>
      <c r="U14" s="72">
        <f t="shared" si="1"/>
        <v>311669.2</v>
      </c>
      <c r="V14" s="73">
        <v>336956.4</v>
      </c>
    </row>
    <row r="15" spans="1:22" ht="12.75" hidden="1">
      <c r="A15" s="52" t="s">
        <v>32</v>
      </c>
      <c r="B15" s="53" t="s">
        <v>35</v>
      </c>
      <c r="C15" s="54" t="s">
        <v>36</v>
      </c>
      <c r="D15" s="55" t="s">
        <v>37</v>
      </c>
      <c r="E15" s="74" t="s">
        <v>38</v>
      </c>
      <c r="F15" s="43">
        <v>373.302</v>
      </c>
      <c r="G15" s="57"/>
      <c r="H15" s="57"/>
      <c r="I15" s="58"/>
      <c r="J15" s="59">
        <f aca="true" t="shared" si="2" ref="J15:J20">+($F$7-$O$952-$Q$952-$P$952-$R$952-$S$952)/($F$952-$G$952*1-$H$952*0.5)*0.646*1.0268514</f>
        <v>742.8502282779862</v>
      </c>
      <c r="K15" s="60">
        <v>1.065228053001168</v>
      </c>
      <c r="L15" s="75">
        <v>0.9600692270523397</v>
      </c>
      <c r="M15" s="63">
        <f aca="true" t="shared" si="3" ref="M15:M20">ROUND(J15*(F15-G15-H15*I15)*K15*(0.5+0.5*L15),1)</f>
        <v>289498</v>
      </c>
      <c r="N15" s="63">
        <f aca="true" t="shared" si="4" ref="N15:N20">ROUND(M15*0.883,1)</f>
        <v>255626.7</v>
      </c>
      <c r="O15" s="62"/>
      <c r="P15" s="76"/>
      <c r="Q15" s="77"/>
      <c r="R15" s="76"/>
      <c r="S15" s="77"/>
      <c r="T15" s="64"/>
      <c r="U15" s="45">
        <f aca="true" t="shared" si="5" ref="U15:U20">+N15+O15+T15+R15+S15+Q15</f>
        <v>255626.7</v>
      </c>
      <c r="V15" s="65">
        <v>241755</v>
      </c>
    </row>
    <row r="16" spans="1:22" ht="12.75" hidden="1">
      <c r="A16" s="52" t="s">
        <v>32</v>
      </c>
      <c r="B16" s="53" t="s">
        <v>32</v>
      </c>
      <c r="C16" s="54" t="s">
        <v>36</v>
      </c>
      <c r="D16" s="55" t="s">
        <v>39</v>
      </c>
      <c r="E16" s="78" t="s">
        <v>40</v>
      </c>
      <c r="F16" s="43">
        <v>34.992</v>
      </c>
      <c r="G16" s="57"/>
      <c r="H16" s="57"/>
      <c r="I16" s="58"/>
      <c r="J16" s="59">
        <f t="shared" si="2"/>
        <v>742.8502282779862</v>
      </c>
      <c r="K16" s="60">
        <v>1.065228053001168</v>
      </c>
      <c r="L16" s="75">
        <v>0.9674176701483452</v>
      </c>
      <c r="M16" s="63">
        <f t="shared" si="3"/>
        <v>27238.2</v>
      </c>
      <c r="N16" s="63">
        <f t="shared" si="4"/>
        <v>24051.3</v>
      </c>
      <c r="O16" s="62"/>
      <c r="P16" s="76"/>
      <c r="Q16" s="77"/>
      <c r="R16" s="76"/>
      <c r="S16" s="77"/>
      <c r="T16" s="64">
        <f>-ROUND(N16,1)</f>
        <v>-24051.3</v>
      </c>
      <c r="U16" s="45">
        <f t="shared" si="5"/>
        <v>0</v>
      </c>
      <c r="V16" s="65">
        <v>22971.1</v>
      </c>
    </row>
    <row r="17" spans="1:22" ht="12.75" hidden="1">
      <c r="A17" s="52" t="s">
        <v>32</v>
      </c>
      <c r="B17" s="53">
        <v>3</v>
      </c>
      <c r="C17" s="54" t="s">
        <v>36</v>
      </c>
      <c r="D17" s="55" t="s">
        <v>41</v>
      </c>
      <c r="E17" s="78" t="s">
        <v>42</v>
      </c>
      <c r="F17" s="43">
        <v>25.031</v>
      </c>
      <c r="G17" s="57"/>
      <c r="H17" s="57"/>
      <c r="I17" s="58"/>
      <c r="J17" s="59">
        <f t="shared" si="2"/>
        <v>742.8502282779862</v>
      </c>
      <c r="K17" s="60">
        <v>1.065228053001168</v>
      </c>
      <c r="L17" s="75">
        <v>0.9984497380331677</v>
      </c>
      <c r="M17" s="63">
        <f t="shared" si="3"/>
        <v>19791.8</v>
      </c>
      <c r="N17" s="63">
        <f t="shared" si="4"/>
        <v>17476.2</v>
      </c>
      <c r="O17" s="62"/>
      <c r="P17" s="76"/>
      <c r="Q17" s="77"/>
      <c r="R17" s="76"/>
      <c r="S17" s="77"/>
      <c r="T17" s="64"/>
      <c r="U17" s="45">
        <f t="shared" si="5"/>
        <v>17476.2</v>
      </c>
      <c r="V17" s="65">
        <v>16682.2</v>
      </c>
    </row>
    <row r="18" spans="1:22" ht="12.75" hidden="1">
      <c r="A18" s="52" t="s">
        <v>32</v>
      </c>
      <c r="B18" s="53">
        <v>4</v>
      </c>
      <c r="C18" s="54" t="s">
        <v>36</v>
      </c>
      <c r="D18" s="55" t="s">
        <v>43</v>
      </c>
      <c r="E18" s="78" t="s">
        <v>44</v>
      </c>
      <c r="F18" s="43">
        <v>24.006</v>
      </c>
      <c r="G18" s="57"/>
      <c r="H18" s="57"/>
      <c r="I18" s="58"/>
      <c r="J18" s="59">
        <f t="shared" si="2"/>
        <v>742.8502282779862</v>
      </c>
      <c r="K18" s="60">
        <v>1.065228053001168</v>
      </c>
      <c r="L18" s="75">
        <v>1.00357280881172</v>
      </c>
      <c r="M18" s="63">
        <f t="shared" si="3"/>
        <v>19030</v>
      </c>
      <c r="N18" s="63">
        <f t="shared" si="4"/>
        <v>16803.5</v>
      </c>
      <c r="O18" s="62"/>
      <c r="P18" s="76"/>
      <c r="Q18" s="77"/>
      <c r="R18" s="76"/>
      <c r="S18" s="77"/>
      <c r="T18" s="64"/>
      <c r="U18" s="45">
        <f t="shared" si="5"/>
        <v>16803.5</v>
      </c>
      <c r="V18" s="65">
        <v>15965.9</v>
      </c>
    </row>
    <row r="19" spans="1:22" ht="12.75" hidden="1">
      <c r="A19" s="52" t="s">
        <v>32</v>
      </c>
      <c r="B19" s="53">
        <v>5</v>
      </c>
      <c r="C19" s="54" t="s">
        <v>36</v>
      </c>
      <c r="D19" s="55" t="s">
        <v>45</v>
      </c>
      <c r="E19" s="78" t="s">
        <v>46</v>
      </c>
      <c r="F19" s="43">
        <v>31.637</v>
      </c>
      <c r="G19" s="57"/>
      <c r="H19" s="57"/>
      <c r="I19" s="58"/>
      <c r="J19" s="59">
        <f t="shared" si="2"/>
        <v>742.8502282779862</v>
      </c>
      <c r="K19" s="60">
        <v>1.065228053001168</v>
      </c>
      <c r="L19" s="75">
        <v>0.9689965058347856</v>
      </c>
      <c r="M19" s="63">
        <f t="shared" si="3"/>
        <v>24646.4</v>
      </c>
      <c r="N19" s="63">
        <f t="shared" si="4"/>
        <v>21762.8</v>
      </c>
      <c r="O19" s="62"/>
      <c r="P19" s="76"/>
      <c r="Q19" s="77"/>
      <c r="R19" s="76"/>
      <c r="S19" s="77"/>
      <c r="T19" s="64"/>
      <c r="U19" s="45">
        <f t="shared" si="5"/>
        <v>21762.8</v>
      </c>
      <c r="V19" s="65">
        <v>20756.4</v>
      </c>
    </row>
    <row r="20" spans="1:22" ht="12.75" hidden="1">
      <c r="A20" s="52" t="s">
        <v>32</v>
      </c>
      <c r="B20" s="53">
        <v>6</v>
      </c>
      <c r="C20" s="54" t="s">
        <v>36</v>
      </c>
      <c r="D20" s="55" t="s">
        <v>47</v>
      </c>
      <c r="E20" s="78" t="s">
        <v>48</v>
      </c>
      <c r="F20" s="43">
        <v>28.242</v>
      </c>
      <c r="G20" s="57"/>
      <c r="H20" s="57"/>
      <c r="I20" s="58"/>
      <c r="J20" s="59">
        <f t="shared" si="2"/>
        <v>742.8502282779862</v>
      </c>
      <c r="K20" s="60">
        <v>1.065228053001168</v>
      </c>
      <c r="L20" s="75">
        <v>1.0053031849485108</v>
      </c>
      <c r="M20" s="63">
        <f t="shared" si="3"/>
        <v>22407.3</v>
      </c>
      <c r="N20" s="63">
        <f t="shared" si="4"/>
        <v>19785.6</v>
      </c>
      <c r="O20" s="62"/>
      <c r="P20" s="76"/>
      <c r="Q20" s="77"/>
      <c r="R20" s="76"/>
      <c r="S20" s="77"/>
      <c r="T20" s="64">
        <f>-ROUND(N20,1)</f>
        <v>-19785.6</v>
      </c>
      <c r="U20" s="45">
        <f t="shared" si="5"/>
        <v>0</v>
      </c>
      <c r="V20" s="65">
        <v>18825.8</v>
      </c>
    </row>
    <row r="21" spans="1:22" s="82" customFormat="1" ht="30" customHeight="1" hidden="1">
      <c r="A21" s="38" t="s">
        <v>32</v>
      </c>
      <c r="B21" s="39" t="s">
        <v>26</v>
      </c>
      <c r="C21" s="40" t="s">
        <v>49</v>
      </c>
      <c r="D21" s="41"/>
      <c r="E21" s="79" t="s">
        <v>50</v>
      </c>
      <c r="F21" s="43">
        <f>SUM(F22:F48)</f>
        <v>1061.206</v>
      </c>
      <c r="G21" s="67">
        <f>SUM(G22:G48)</f>
        <v>0</v>
      </c>
      <c r="H21" s="68">
        <f>SUM(H22:H48)</f>
        <v>0</v>
      </c>
      <c r="I21" s="69"/>
      <c r="J21" s="80"/>
      <c r="K21" s="70"/>
      <c r="L21" s="71">
        <v>1.0463740604301326</v>
      </c>
      <c r="M21" s="81">
        <f aca="true" t="shared" si="6" ref="M21:U21">SUM(M22:M48)</f>
        <v>753216.9999999999</v>
      </c>
      <c r="N21" s="81">
        <f t="shared" si="6"/>
        <v>683167.7999999999</v>
      </c>
      <c r="O21" s="81">
        <f t="shared" si="6"/>
        <v>0</v>
      </c>
      <c r="P21" s="81">
        <f t="shared" si="6"/>
        <v>0</v>
      </c>
      <c r="Q21" s="81">
        <f t="shared" si="6"/>
        <v>0</v>
      </c>
      <c r="R21" s="81">
        <f t="shared" si="6"/>
        <v>0</v>
      </c>
      <c r="S21" s="81">
        <f t="shared" si="6"/>
        <v>0</v>
      </c>
      <c r="T21" s="81">
        <f t="shared" si="6"/>
        <v>43836.899999999994</v>
      </c>
      <c r="U21" s="81">
        <f t="shared" si="6"/>
        <v>727004.7</v>
      </c>
      <c r="V21" s="73">
        <v>653917.1</v>
      </c>
    </row>
    <row r="22" spans="1:22" ht="12.75" hidden="1">
      <c r="A22" s="52" t="s">
        <v>32</v>
      </c>
      <c r="B22" s="53" t="s">
        <v>51</v>
      </c>
      <c r="C22" s="54" t="s">
        <v>52</v>
      </c>
      <c r="D22" s="55" t="s">
        <v>53</v>
      </c>
      <c r="E22" s="56" t="s">
        <v>54</v>
      </c>
      <c r="F22" s="43">
        <v>52.528</v>
      </c>
      <c r="G22" s="57"/>
      <c r="H22" s="57"/>
      <c r="I22" s="58"/>
      <c r="J22" s="59">
        <f aca="true" t="shared" si="7" ref="J22:J48">+($F$7-$O$952-$Q$952-$P$952-$R$952-$S$952)/($F$952-$G$952*1-$H$952*0.5)*0.646*1.0268514</f>
        <v>742.8502282779862</v>
      </c>
      <c r="K22" s="60">
        <v>0.9336178972540682</v>
      </c>
      <c r="L22" s="75">
        <v>1.041503418001774</v>
      </c>
      <c r="M22" s="62">
        <f aca="true" t="shared" si="8" ref="M22:M48">ROUND(J22*(F22-G22-H22*I22)*K22*(0.5+0.5*L22),1)</f>
        <v>37186.2</v>
      </c>
      <c r="N22" s="62">
        <f aca="true" t="shared" si="9" ref="N22:N48">ROUND(M22*0.907,1)</f>
        <v>33727.9</v>
      </c>
      <c r="O22" s="62"/>
      <c r="P22" s="76"/>
      <c r="Q22" s="76"/>
      <c r="R22" s="76"/>
      <c r="S22" s="76"/>
      <c r="T22" s="64"/>
      <c r="U22" s="45">
        <f aca="true" t="shared" si="10" ref="U22:U48">+N22+O22+T22+R22+S22+Q22</f>
        <v>33727.9</v>
      </c>
      <c r="V22" s="65">
        <v>32314</v>
      </c>
    </row>
    <row r="23" spans="1:22" ht="12.75" hidden="1">
      <c r="A23" s="52" t="s">
        <v>32</v>
      </c>
      <c r="B23" s="53" t="s">
        <v>55</v>
      </c>
      <c r="C23" s="54" t="s">
        <v>52</v>
      </c>
      <c r="D23" s="55" t="s">
        <v>56</v>
      </c>
      <c r="E23" s="56" t="s">
        <v>57</v>
      </c>
      <c r="F23" s="43">
        <v>59.841</v>
      </c>
      <c r="G23" s="57"/>
      <c r="H23" s="57"/>
      <c r="I23" s="58"/>
      <c r="J23" s="59">
        <f t="shared" si="7"/>
        <v>742.8502282779862</v>
      </c>
      <c r="K23" s="60">
        <v>0.9336178972540682</v>
      </c>
      <c r="L23" s="75">
        <v>1.048650034785623</v>
      </c>
      <c r="M23" s="63">
        <f t="shared" si="8"/>
        <v>42511.6</v>
      </c>
      <c r="N23" s="62">
        <f t="shared" si="9"/>
        <v>38558</v>
      </c>
      <c r="O23" s="62"/>
      <c r="P23" s="76"/>
      <c r="Q23" s="77"/>
      <c r="R23" s="76"/>
      <c r="S23" s="77"/>
      <c r="T23" s="64"/>
      <c r="U23" s="45">
        <f t="shared" si="10"/>
        <v>38558</v>
      </c>
      <c r="V23" s="65">
        <v>36960.9</v>
      </c>
    </row>
    <row r="24" spans="1:22" ht="12.75" hidden="1">
      <c r="A24" s="52" t="s">
        <v>32</v>
      </c>
      <c r="B24" s="53" t="s">
        <v>58</v>
      </c>
      <c r="C24" s="54" t="s">
        <v>52</v>
      </c>
      <c r="D24" s="55" t="s">
        <v>59</v>
      </c>
      <c r="E24" s="56" t="s">
        <v>60</v>
      </c>
      <c r="F24" s="43">
        <v>81.068</v>
      </c>
      <c r="G24" s="57"/>
      <c r="H24" s="57"/>
      <c r="I24" s="58"/>
      <c r="J24" s="59">
        <f t="shared" si="7"/>
        <v>742.8502282779862</v>
      </c>
      <c r="K24" s="60">
        <v>0.9336178972540682</v>
      </c>
      <c r="L24" s="75">
        <v>0.996787452816266</v>
      </c>
      <c r="M24" s="63">
        <f t="shared" si="8"/>
        <v>56133.4</v>
      </c>
      <c r="N24" s="62">
        <f t="shared" si="9"/>
        <v>50913</v>
      </c>
      <c r="O24" s="62"/>
      <c r="P24" s="76"/>
      <c r="Q24" s="77"/>
      <c r="R24" s="76"/>
      <c r="S24" s="77"/>
      <c r="T24" s="64"/>
      <c r="U24" s="45">
        <f t="shared" si="10"/>
        <v>50913</v>
      </c>
      <c r="V24" s="65">
        <v>47578.8</v>
      </c>
    </row>
    <row r="25" spans="1:22" ht="12.75" hidden="1">
      <c r="A25" s="52" t="s">
        <v>32</v>
      </c>
      <c r="B25" s="53" t="s">
        <v>61</v>
      </c>
      <c r="C25" s="54" t="s">
        <v>52</v>
      </c>
      <c r="D25" s="55" t="s">
        <v>62</v>
      </c>
      <c r="E25" s="56" t="s">
        <v>63</v>
      </c>
      <c r="F25" s="43">
        <v>57.474</v>
      </c>
      <c r="G25" s="57"/>
      <c r="H25" s="57"/>
      <c r="I25" s="58"/>
      <c r="J25" s="59">
        <f t="shared" si="7"/>
        <v>742.8502282779862</v>
      </c>
      <c r="K25" s="60">
        <v>0.9336178972540682</v>
      </c>
      <c r="L25" s="75">
        <v>1.041358719247906</v>
      </c>
      <c r="M25" s="63">
        <f t="shared" si="8"/>
        <v>40684.7</v>
      </c>
      <c r="N25" s="62">
        <f t="shared" si="9"/>
        <v>36901</v>
      </c>
      <c r="O25" s="62"/>
      <c r="P25" s="76"/>
      <c r="Q25" s="77"/>
      <c r="R25" s="76"/>
      <c r="S25" s="77"/>
      <c r="T25" s="64"/>
      <c r="U25" s="45">
        <f t="shared" si="10"/>
        <v>36901</v>
      </c>
      <c r="V25" s="65">
        <v>35305.7</v>
      </c>
    </row>
    <row r="26" spans="1:22" ht="12.75" hidden="1">
      <c r="A26" s="52" t="s">
        <v>32</v>
      </c>
      <c r="B26" s="53" t="s">
        <v>64</v>
      </c>
      <c r="C26" s="54" t="s">
        <v>52</v>
      </c>
      <c r="D26" s="55" t="s">
        <v>65</v>
      </c>
      <c r="E26" s="56" t="s">
        <v>66</v>
      </c>
      <c r="F26" s="43">
        <v>34.528</v>
      </c>
      <c r="G26" s="57"/>
      <c r="H26" s="57"/>
      <c r="I26" s="58"/>
      <c r="J26" s="59">
        <f t="shared" si="7"/>
        <v>742.8502282779862</v>
      </c>
      <c r="K26" s="60">
        <v>0.9336178972540682</v>
      </c>
      <c r="L26" s="75">
        <v>1.0565741650330127</v>
      </c>
      <c r="M26" s="63">
        <f t="shared" si="8"/>
        <v>24623.9</v>
      </c>
      <c r="N26" s="62">
        <f t="shared" si="9"/>
        <v>22333.9</v>
      </c>
      <c r="O26" s="62"/>
      <c r="P26" s="76"/>
      <c r="Q26" s="77"/>
      <c r="R26" s="76"/>
      <c r="S26" s="77"/>
      <c r="T26" s="64">
        <f>ROUND(N16,1)</f>
        <v>24051.3</v>
      </c>
      <c r="U26" s="45">
        <f t="shared" si="10"/>
        <v>46385.2</v>
      </c>
      <c r="V26" s="65">
        <v>21447.1</v>
      </c>
    </row>
    <row r="27" spans="1:22" ht="12.75" hidden="1">
      <c r="A27" s="52" t="s">
        <v>32</v>
      </c>
      <c r="B27" s="53">
        <v>10</v>
      </c>
      <c r="C27" s="54" t="s">
        <v>52</v>
      </c>
      <c r="D27" s="55" t="s">
        <v>67</v>
      </c>
      <c r="E27" s="56" t="s">
        <v>68</v>
      </c>
      <c r="F27" s="43">
        <v>37.61</v>
      </c>
      <c r="G27" s="57"/>
      <c r="H27" s="57"/>
      <c r="I27" s="58"/>
      <c r="J27" s="59">
        <f t="shared" si="7"/>
        <v>742.8502282779862</v>
      </c>
      <c r="K27" s="60">
        <v>0.9336178972540682</v>
      </c>
      <c r="L27" s="75">
        <v>1.032576885413983</v>
      </c>
      <c r="M27" s="63">
        <f t="shared" si="8"/>
        <v>26508.8</v>
      </c>
      <c r="N27" s="62">
        <f t="shared" si="9"/>
        <v>24043.5</v>
      </c>
      <c r="O27" s="62"/>
      <c r="P27" s="76"/>
      <c r="Q27" s="77"/>
      <c r="R27" s="76"/>
      <c r="S27" s="77"/>
      <c r="T27" s="64"/>
      <c r="U27" s="45">
        <f t="shared" si="10"/>
        <v>24043.5</v>
      </c>
      <c r="V27" s="65">
        <v>22956.9</v>
      </c>
    </row>
    <row r="28" spans="1:22" ht="12.75" hidden="1">
      <c r="A28" s="52" t="s">
        <v>32</v>
      </c>
      <c r="B28" s="53">
        <v>11</v>
      </c>
      <c r="C28" s="54" t="s">
        <v>52</v>
      </c>
      <c r="D28" s="55" t="s">
        <v>69</v>
      </c>
      <c r="E28" s="56" t="s">
        <v>70</v>
      </c>
      <c r="F28" s="43">
        <v>37.976</v>
      </c>
      <c r="G28" s="57"/>
      <c r="H28" s="57"/>
      <c r="I28" s="58"/>
      <c r="J28" s="59">
        <f t="shared" si="7"/>
        <v>742.8502282779862</v>
      </c>
      <c r="K28" s="60">
        <v>0.9336178972540682</v>
      </c>
      <c r="L28" s="75">
        <v>1.023396306196936</v>
      </c>
      <c r="M28" s="63">
        <f t="shared" si="8"/>
        <v>26645.9</v>
      </c>
      <c r="N28" s="62">
        <f t="shared" si="9"/>
        <v>24167.8</v>
      </c>
      <c r="O28" s="62"/>
      <c r="P28" s="76"/>
      <c r="Q28" s="77"/>
      <c r="R28" s="76"/>
      <c r="S28" s="77"/>
      <c r="T28" s="64"/>
      <c r="U28" s="45">
        <f t="shared" si="10"/>
        <v>24167.8</v>
      </c>
      <c r="V28" s="65">
        <v>23086.4</v>
      </c>
    </row>
    <row r="29" spans="1:22" ht="12.75" hidden="1">
      <c r="A29" s="52" t="s">
        <v>32</v>
      </c>
      <c r="B29" s="53">
        <v>12</v>
      </c>
      <c r="C29" s="54" t="s">
        <v>52</v>
      </c>
      <c r="D29" s="55" t="s">
        <v>71</v>
      </c>
      <c r="E29" s="56" t="s">
        <v>72</v>
      </c>
      <c r="F29" s="43">
        <v>40.129</v>
      </c>
      <c r="G29" s="57"/>
      <c r="H29" s="57"/>
      <c r="I29" s="58"/>
      <c r="J29" s="59">
        <f t="shared" si="7"/>
        <v>742.8502282779862</v>
      </c>
      <c r="K29" s="60">
        <v>0.9336178972540682</v>
      </c>
      <c r="L29" s="75">
        <v>1.054053820425495</v>
      </c>
      <c r="M29" s="63">
        <f t="shared" si="8"/>
        <v>28583.2</v>
      </c>
      <c r="N29" s="62">
        <f t="shared" si="9"/>
        <v>25925</v>
      </c>
      <c r="O29" s="62"/>
      <c r="P29" s="76"/>
      <c r="Q29" s="77"/>
      <c r="R29" s="76"/>
      <c r="S29" s="77"/>
      <c r="T29" s="64"/>
      <c r="U29" s="45">
        <f t="shared" si="10"/>
        <v>25925</v>
      </c>
      <c r="V29" s="65">
        <v>24821.4</v>
      </c>
    </row>
    <row r="30" spans="1:22" ht="12.75" hidden="1">
      <c r="A30" s="52" t="s">
        <v>32</v>
      </c>
      <c r="B30" s="53">
        <v>13</v>
      </c>
      <c r="C30" s="54" t="s">
        <v>52</v>
      </c>
      <c r="D30" s="55" t="s">
        <v>73</v>
      </c>
      <c r="E30" s="56" t="s">
        <v>74</v>
      </c>
      <c r="F30" s="43">
        <v>33.771</v>
      </c>
      <c r="G30" s="57"/>
      <c r="H30" s="57"/>
      <c r="I30" s="58"/>
      <c r="J30" s="59">
        <f t="shared" si="7"/>
        <v>742.8502282779862</v>
      </c>
      <c r="K30" s="60">
        <v>0.9336178972540682</v>
      </c>
      <c r="L30" s="75">
        <v>1.0369462472124475</v>
      </c>
      <c r="M30" s="63">
        <f t="shared" si="8"/>
        <v>23854.1</v>
      </c>
      <c r="N30" s="62">
        <f t="shared" si="9"/>
        <v>21635.7</v>
      </c>
      <c r="O30" s="62"/>
      <c r="P30" s="76"/>
      <c r="Q30" s="77"/>
      <c r="R30" s="76"/>
      <c r="S30" s="77"/>
      <c r="T30" s="64"/>
      <c r="U30" s="45">
        <f t="shared" si="10"/>
        <v>21635.7</v>
      </c>
      <c r="V30" s="65">
        <v>20719.5</v>
      </c>
    </row>
    <row r="31" spans="1:22" ht="12.75" hidden="1">
      <c r="A31" s="52" t="s">
        <v>32</v>
      </c>
      <c r="B31" s="53">
        <v>14</v>
      </c>
      <c r="C31" s="54" t="s">
        <v>52</v>
      </c>
      <c r="D31" s="55" t="s">
        <v>75</v>
      </c>
      <c r="E31" s="56" t="s">
        <v>76</v>
      </c>
      <c r="F31" s="43">
        <v>38.108</v>
      </c>
      <c r="G31" s="57"/>
      <c r="H31" s="57"/>
      <c r="I31" s="58"/>
      <c r="J31" s="59">
        <f t="shared" si="7"/>
        <v>742.8502282779862</v>
      </c>
      <c r="K31" s="60">
        <v>0.9336178972540682</v>
      </c>
      <c r="L31" s="75">
        <v>1.0615808021257935</v>
      </c>
      <c r="M31" s="63">
        <f t="shared" si="8"/>
        <v>27243.1</v>
      </c>
      <c r="N31" s="62">
        <f t="shared" si="9"/>
        <v>24709.5</v>
      </c>
      <c r="O31" s="62"/>
      <c r="P31" s="76"/>
      <c r="Q31" s="77"/>
      <c r="R31" s="76"/>
      <c r="S31" s="77"/>
      <c r="T31" s="64"/>
      <c r="U31" s="45">
        <f t="shared" si="10"/>
        <v>24709.5</v>
      </c>
      <c r="V31" s="65">
        <v>23692.6</v>
      </c>
    </row>
    <row r="32" spans="1:22" ht="12.75" hidden="1">
      <c r="A32" s="52" t="s">
        <v>32</v>
      </c>
      <c r="B32" s="53">
        <v>15</v>
      </c>
      <c r="C32" s="54" t="s">
        <v>52</v>
      </c>
      <c r="D32" s="55" t="s">
        <v>77</v>
      </c>
      <c r="E32" s="56" t="s">
        <v>78</v>
      </c>
      <c r="F32" s="43">
        <v>35.72</v>
      </c>
      <c r="G32" s="57"/>
      <c r="H32" s="57"/>
      <c r="I32" s="58"/>
      <c r="J32" s="59">
        <f t="shared" si="7"/>
        <v>742.8502282779862</v>
      </c>
      <c r="K32" s="60">
        <v>0.9336178972540682</v>
      </c>
      <c r="L32" s="75">
        <v>1.067680868227534</v>
      </c>
      <c r="M32" s="63">
        <f t="shared" si="8"/>
        <v>25611.5</v>
      </c>
      <c r="N32" s="62">
        <f t="shared" si="9"/>
        <v>23229.6</v>
      </c>
      <c r="O32" s="62"/>
      <c r="P32" s="76"/>
      <c r="Q32" s="77"/>
      <c r="R32" s="76"/>
      <c r="S32" s="77"/>
      <c r="T32" s="64"/>
      <c r="U32" s="45">
        <f t="shared" si="10"/>
        <v>23229.6</v>
      </c>
      <c r="V32" s="65">
        <v>22253.6</v>
      </c>
    </row>
    <row r="33" spans="1:22" ht="12.75" hidden="1">
      <c r="A33" s="52" t="s">
        <v>32</v>
      </c>
      <c r="B33" s="53">
        <v>16</v>
      </c>
      <c r="C33" s="54" t="s">
        <v>52</v>
      </c>
      <c r="D33" s="55" t="s">
        <v>79</v>
      </c>
      <c r="E33" s="56" t="s">
        <v>80</v>
      </c>
      <c r="F33" s="43">
        <v>33.073</v>
      </c>
      <c r="G33" s="57"/>
      <c r="H33" s="57"/>
      <c r="I33" s="58"/>
      <c r="J33" s="59">
        <f t="shared" si="7"/>
        <v>742.8502282779862</v>
      </c>
      <c r="K33" s="60">
        <v>0.9336178972540682</v>
      </c>
      <c r="L33" s="75">
        <v>1.087156468866343</v>
      </c>
      <c r="M33" s="63">
        <f t="shared" si="8"/>
        <v>23937</v>
      </c>
      <c r="N33" s="62">
        <f t="shared" si="9"/>
        <v>21710.9</v>
      </c>
      <c r="O33" s="62"/>
      <c r="P33" s="76"/>
      <c r="Q33" s="77"/>
      <c r="R33" s="76"/>
      <c r="S33" s="77"/>
      <c r="T33" s="64"/>
      <c r="U33" s="45">
        <f t="shared" si="10"/>
        <v>21710.9</v>
      </c>
      <c r="V33" s="65">
        <v>20845</v>
      </c>
    </row>
    <row r="34" spans="1:22" ht="12.75" hidden="1">
      <c r="A34" s="52" t="s">
        <v>32</v>
      </c>
      <c r="B34" s="53">
        <v>17</v>
      </c>
      <c r="C34" s="54" t="s">
        <v>52</v>
      </c>
      <c r="D34" s="55" t="s">
        <v>81</v>
      </c>
      <c r="E34" s="56" t="s">
        <v>82</v>
      </c>
      <c r="F34" s="43">
        <v>25.662</v>
      </c>
      <c r="G34" s="57"/>
      <c r="H34" s="57"/>
      <c r="I34" s="58"/>
      <c r="J34" s="59">
        <f t="shared" si="7"/>
        <v>742.8502282779862</v>
      </c>
      <c r="K34" s="60">
        <v>0.9336178972540682</v>
      </c>
      <c r="L34" s="75">
        <v>1.0900905640753489</v>
      </c>
      <c r="M34" s="63">
        <f t="shared" si="8"/>
        <v>18599.3</v>
      </c>
      <c r="N34" s="62">
        <f t="shared" si="9"/>
        <v>16869.6</v>
      </c>
      <c r="O34" s="62"/>
      <c r="P34" s="76"/>
      <c r="Q34" s="77"/>
      <c r="R34" s="76"/>
      <c r="S34" s="77"/>
      <c r="T34" s="64"/>
      <c r="U34" s="45">
        <f t="shared" si="10"/>
        <v>16869.6</v>
      </c>
      <c r="V34" s="65">
        <v>16278.1</v>
      </c>
    </row>
    <row r="35" spans="1:22" ht="12.75" hidden="1">
      <c r="A35" s="52" t="s">
        <v>32</v>
      </c>
      <c r="B35" s="53">
        <v>18</v>
      </c>
      <c r="C35" s="54" t="s">
        <v>52</v>
      </c>
      <c r="D35" s="55" t="s">
        <v>83</v>
      </c>
      <c r="E35" s="56" t="s">
        <v>84</v>
      </c>
      <c r="F35" s="43">
        <v>49.534</v>
      </c>
      <c r="G35" s="57"/>
      <c r="H35" s="57"/>
      <c r="I35" s="58"/>
      <c r="J35" s="59">
        <f t="shared" si="7"/>
        <v>742.8502282779862</v>
      </c>
      <c r="K35" s="60">
        <v>0.9336178972540682</v>
      </c>
      <c r="L35" s="75">
        <v>1.0519488482452088</v>
      </c>
      <c r="M35" s="63">
        <f t="shared" si="8"/>
        <v>35246</v>
      </c>
      <c r="N35" s="62">
        <f t="shared" si="9"/>
        <v>31968.1</v>
      </c>
      <c r="O35" s="62"/>
      <c r="P35" s="76"/>
      <c r="Q35" s="77"/>
      <c r="R35" s="76"/>
      <c r="S35" s="77"/>
      <c r="T35" s="64"/>
      <c r="U35" s="45">
        <f t="shared" si="10"/>
        <v>31968.1</v>
      </c>
      <c r="V35" s="65">
        <v>30751.6</v>
      </c>
    </row>
    <row r="36" spans="1:22" ht="12.75" hidden="1">
      <c r="A36" s="52" t="s">
        <v>32</v>
      </c>
      <c r="B36" s="53">
        <v>19</v>
      </c>
      <c r="C36" s="54" t="s">
        <v>52</v>
      </c>
      <c r="D36" s="55" t="s">
        <v>85</v>
      </c>
      <c r="E36" s="56" t="s">
        <v>86</v>
      </c>
      <c r="F36" s="43">
        <v>21.498</v>
      </c>
      <c r="G36" s="57"/>
      <c r="H36" s="57"/>
      <c r="I36" s="58"/>
      <c r="J36" s="59">
        <f t="shared" si="7"/>
        <v>742.8502282779862</v>
      </c>
      <c r="K36" s="60">
        <v>0.9336178972540682</v>
      </c>
      <c r="L36" s="75">
        <v>1.079584444250132</v>
      </c>
      <c r="M36" s="63">
        <f t="shared" si="8"/>
        <v>15503</v>
      </c>
      <c r="N36" s="62">
        <f t="shared" si="9"/>
        <v>14061.2</v>
      </c>
      <c r="O36" s="62"/>
      <c r="P36" s="76"/>
      <c r="Q36" s="77"/>
      <c r="R36" s="76"/>
      <c r="S36" s="77"/>
      <c r="T36" s="64"/>
      <c r="U36" s="45">
        <f t="shared" si="10"/>
        <v>14061.2</v>
      </c>
      <c r="V36" s="65">
        <v>13538.1</v>
      </c>
    </row>
    <row r="37" spans="1:22" ht="12.75" hidden="1">
      <c r="A37" s="52" t="s">
        <v>32</v>
      </c>
      <c r="B37" s="53">
        <v>20</v>
      </c>
      <c r="C37" s="54" t="s">
        <v>52</v>
      </c>
      <c r="D37" s="55" t="s">
        <v>87</v>
      </c>
      <c r="E37" s="56" t="s">
        <v>88</v>
      </c>
      <c r="F37" s="43">
        <v>17.577</v>
      </c>
      <c r="G37" s="57"/>
      <c r="H37" s="57"/>
      <c r="I37" s="58"/>
      <c r="J37" s="59">
        <f t="shared" si="7"/>
        <v>742.8502282779862</v>
      </c>
      <c r="K37" s="60">
        <v>0.9336178972540682</v>
      </c>
      <c r="L37" s="75">
        <v>1.0296733029889928</v>
      </c>
      <c r="M37" s="63">
        <f t="shared" si="8"/>
        <v>12371.2</v>
      </c>
      <c r="N37" s="62">
        <f t="shared" si="9"/>
        <v>11220.7</v>
      </c>
      <c r="O37" s="62"/>
      <c r="P37" s="76"/>
      <c r="Q37" s="77"/>
      <c r="R37" s="76"/>
      <c r="S37" s="77"/>
      <c r="T37" s="64"/>
      <c r="U37" s="45">
        <f t="shared" si="10"/>
        <v>11220.7</v>
      </c>
      <c r="V37" s="65">
        <v>10770.7</v>
      </c>
    </row>
    <row r="38" spans="1:22" ht="12.75" hidden="1">
      <c r="A38" s="52" t="s">
        <v>32</v>
      </c>
      <c r="B38" s="53">
        <v>21</v>
      </c>
      <c r="C38" s="54" t="s">
        <v>52</v>
      </c>
      <c r="D38" s="55" t="s">
        <v>89</v>
      </c>
      <c r="E38" s="56" t="s">
        <v>90</v>
      </c>
      <c r="F38" s="43">
        <v>30.356</v>
      </c>
      <c r="G38" s="57"/>
      <c r="H38" s="57"/>
      <c r="I38" s="58"/>
      <c r="J38" s="59">
        <f t="shared" si="7"/>
        <v>742.8502282779862</v>
      </c>
      <c r="K38" s="60">
        <v>0.9336178972540682</v>
      </c>
      <c r="L38" s="75">
        <v>1.0790296718322976</v>
      </c>
      <c r="M38" s="63">
        <f t="shared" si="8"/>
        <v>21885</v>
      </c>
      <c r="N38" s="62">
        <f t="shared" si="9"/>
        <v>19849.7</v>
      </c>
      <c r="O38" s="62"/>
      <c r="P38" s="76"/>
      <c r="Q38" s="77"/>
      <c r="R38" s="76"/>
      <c r="S38" s="77"/>
      <c r="T38" s="64"/>
      <c r="U38" s="45">
        <f t="shared" si="10"/>
        <v>19849.7</v>
      </c>
      <c r="V38" s="65">
        <v>19072.9</v>
      </c>
    </row>
    <row r="39" spans="1:22" ht="12.75" hidden="1">
      <c r="A39" s="52" t="s">
        <v>32</v>
      </c>
      <c r="B39" s="53">
        <v>22</v>
      </c>
      <c r="C39" s="54" t="s">
        <v>52</v>
      </c>
      <c r="D39" s="55" t="s">
        <v>91</v>
      </c>
      <c r="E39" s="56" t="s">
        <v>92</v>
      </c>
      <c r="F39" s="43">
        <v>28.528</v>
      </c>
      <c r="G39" s="57"/>
      <c r="H39" s="57"/>
      <c r="I39" s="58"/>
      <c r="J39" s="59">
        <f t="shared" si="7"/>
        <v>742.8502282779862</v>
      </c>
      <c r="K39" s="60">
        <v>0.9336178972540682</v>
      </c>
      <c r="L39" s="75">
        <v>1.061466027615924</v>
      </c>
      <c r="M39" s="63">
        <f t="shared" si="8"/>
        <v>20393.3</v>
      </c>
      <c r="N39" s="62">
        <f t="shared" si="9"/>
        <v>18496.7</v>
      </c>
      <c r="O39" s="62"/>
      <c r="P39" s="76"/>
      <c r="Q39" s="77"/>
      <c r="R39" s="76"/>
      <c r="S39" s="77"/>
      <c r="T39" s="64"/>
      <c r="U39" s="45">
        <f t="shared" si="10"/>
        <v>18496.7</v>
      </c>
      <c r="V39" s="65">
        <v>17792.5</v>
      </c>
    </row>
    <row r="40" spans="1:22" ht="12.75" hidden="1">
      <c r="A40" s="52" t="s">
        <v>32</v>
      </c>
      <c r="B40" s="53">
        <v>23</v>
      </c>
      <c r="C40" s="54" t="s">
        <v>52</v>
      </c>
      <c r="D40" s="55" t="s">
        <v>93</v>
      </c>
      <c r="E40" s="56" t="s">
        <v>94</v>
      </c>
      <c r="F40" s="43">
        <v>42.656</v>
      </c>
      <c r="G40" s="57"/>
      <c r="H40" s="57"/>
      <c r="I40" s="58"/>
      <c r="J40" s="59">
        <f t="shared" si="7"/>
        <v>742.8502282779862</v>
      </c>
      <c r="K40" s="60">
        <v>0.9336178972540682</v>
      </c>
      <c r="L40" s="75">
        <v>1.0336351174628318</v>
      </c>
      <c r="M40" s="63">
        <f t="shared" si="8"/>
        <v>30081.1</v>
      </c>
      <c r="N40" s="62">
        <f t="shared" si="9"/>
        <v>27283.6</v>
      </c>
      <c r="O40" s="62"/>
      <c r="P40" s="76"/>
      <c r="Q40" s="77"/>
      <c r="R40" s="76"/>
      <c r="S40" s="77"/>
      <c r="T40" s="64"/>
      <c r="U40" s="45">
        <f t="shared" si="10"/>
        <v>27283.6</v>
      </c>
      <c r="V40" s="65">
        <v>26022.6</v>
      </c>
    </row>
    <row r="41" spans="1:22" ht="12.75" hidden="1">
      <c r="A41" s="52" t="s">
        <v>32</v>
      </c>
      <c r="B41" s="53">
        <v>24</v>
      </c>
      <c r="C41" s="54" t="s">
        <v>52</v>
      </c>
      <c r="D41" s="55" t="s">
        <v>95</v>
      </c>
      <c r="E41" s="56" t="s">
        <v>96</v>
      </c>
      <c r="F41" s="43">
        <v>33.694</v>
      </c>
      <c r="G41" s="57"/>
      <c r="H41" s="57"/>
      <c r="I41" s="58"/>
      <c r="J41" s="59">
        <f t="shared" si="7"/>
        <v>742.8502282779862</v>
      </c>
      <c r="K41" s="60">
        <v>0.9336178972540682</v>
      </c>
      <c r="L41" s="75">
        <v>1.0420077850760356</v>
      </c>
      <c r="M41" s="63">
        <f t="shared" si="8"/>
        <v>23858.9</v>
      </c>
      <c r="N41" s="62">
        <f t="shared" si="9"/>
        <v>21640</v>
      </c>
      <c r="O41" s="62"/>
      <c r="P41" s="76"/>
      <c r="Q41" s="77"/>
      <c r="R41" s="76"/>
      <c r="S41" s="77"/>
      <c r="T41" s="64"/>
      <c r="U41" s="45">
        <f t="shared" si="10"/>
        <v>21640</v>
      </c>
      <c r="V41" s="65">
        <v>20743.1</v>
      </c>
    </row>
    <row r="42" spans="1:22" ht="12.75" hidden="1">
      <c r="A42" s="52" t="s">
        <v>32</v>
      </c>
      <c r="B42" s="53">
        <v>25</v>
      </c>
      <c r="C42" s="54" t="s">
        <v>52</v>
      </c>
      <c r="D42" s="55" t="s">
        <v>97</v>
      </c>
      <c r="E42" s="56" t="s">
        <v>98</v>
      </c>
      <c r="F42" s="43">
        <v>35.963</v>
      </c>
      <c r="G42" s="57"/>
      <c r="H42" s="57"/>
      <c r="I42" s="58"/>
      <c r="J42" s="59">
        <f t="shared" si="7"/>
        <v>742.8502282779862</v>
      </c>
      <c r="K42" s="60">
        <v>0.9336178972540682</v>
      </c>
      <c r="L42" s="75">
        <v>1.0562811321481151</v>
      </c>
      <c r="M42" s="63">
        <f t="shared" si="8"/>
        <v>25643.6</v>
      </c>
      <c r="N42" s="62">
        <f t="shared" si="9"/>
        <v>23258.7</v>
      </c>
      <c r="O42" s="62"/>
      <c r="P42" s="76"/>
      <c r="Q42" s="77"/>
      <c r="R42" s="76"/>
      <c r="S42" s="77"/>
      <c r="T42" s="64"/>
      <c r="U42" s="45">
        <f t="shared" si="10"/>
        <v>23258.7</v>
      </c>
      <c r="V42" s="65">
        <v>22261.6</v>
      </c>
    </row>
    <row r="43" spans="1:22" ht="12.75" hidden="1">
      <c r="A43" s="52" t="s">
        <v>32</v>
      </c>
      <c r="B43" s="53">
        <v>26</v>
      </c>
      <c r="C43" s="54" t="s">
        <v>52</v>
      </c>
      <c r="D43" s="55" t="s">
        <v>99</v>
      </c>
      <c r="E43" s="56" t="s">
        <v>100</v>
      </c>
      <c r="F43" s="43">
        <v>55.937</v>
      </c>
      <c r="G43" s="57"/>
      <c r="H43" s="57"/>
      <c r="I43" s="58"/>
      <c r="J43" s="59">
        <f t="shared" si="7"/>
        <v>742.8502282779862</v>
      </c>
      <c r="K43" s="60">
        <v>0.9336178972540682</v>
      </c>
      <c r="L43" s="75">
        <v>1.0452279745037554</v>
      </c>
      <c r="M43" s="63">
        <f t="shared" si="8"/>
        <v>39671.7</v>
      </c>
      <c r="N43" s="62">
        <f t="shared" si="9"/>
        <v>35982.2</v>
      </c>
      <c r="O43" s="62"/>
      <c r="P43" s="76"/>
      <c r="Q43" s="77"/>
      <c r="R43" s="76"/>
      <c r="S43" s="77"/>
      <c r="T43" s="64"/>
      <c r="U43" s="45">
        <f t="shared" si="10"/>
        <v>35982.2</v>
      </c>
      <c r="V43" s="65">
        <v>34546.3</v>
      </c>
    </row>
    <row r="44" spans="1:22" ht="12.75" hidden="1">
      <c r="A44" s="52" t="s">
        <v>32</v>
      </c>
      <c r="B44" s="53">
        <v>27</v>
      </c>
      <c r="C44" s="54" t="s">
        <v>52</v>
      </c>
      <c r="D44" s="55" t="s">
        <v>101</v>
      </c>
      <c r="E44" s="56" t="s">
        <v>102</v>
      </c>
      <c r="F44" s="43">
        <v>36.814</v>
      </c>
      <c r="G44" s="57"/>
      <c r="H44" s="57"/>
      <c r="I44" s="58"/>
      <c r="J44" s="59">
        <f t="shared" si="7"/>
        <v>742.8502282779862</v>
      </c>
      <c r="K44" s="60">
        <v>0.9336178972540682</v>
      </c>
      <c r="L44" s="75">
        <v>1.0704993741343187</v>
      </c>
      <c r="M44" s="63">
        <f t="shared" si="8"/>
        <v>26431.9</v>
      </c>
      <c r="N44" s="62">
        <f t="shared" si="9"/>
        <v>23973.7</v>
      </c>
      <c r="O44" s="62"/>
      <c r="P44" s="76"/>
      <c r="Q44" s="77"/>
      <c r="R44" s="76"/>
      <c r="S44" s="77"/>
      <c r="T44" s="64">
        <f>ROUND(N20,1)</f>
        <v>19785.6</v>
      </c>
      <c r="U44" s="45">
        <f t="shared" si="10"/>
        <v>43759.3</v>
      </c>
      <c r="V44" s="65">
        <v>23025.1</v>
      </c>
    </row>
    <row r="45" spans="1:22" ht="12.75" hidden="1">
      <c r="A45" s="52" t="s">
        <v>32</v>
      </c>
      <c r="B45" s="53">
        <v>28</v>
      </c>
      <c r="C45" s="54" t="s">
        <v>52</v>
      </c>
      <c r="D45" s="55" t="s">
        <v>103</v>
      </c>
      <c r="E45" s="56" t="s">
        <v>104</v>
      </c>
      <c r="F45" s="43">
        <v>21.635</v>
      </c>
      <c r="G45" s="57"/>
      <c r="H45" s="57"/>
      <c r="I45" s="58"/>
      <c r="J45" s="59">
        <f t="shared" si="7"/>
        <v>742.8502282779862</v>
      </c>
      <c r="K45" s="60">
        <v>0.9336178972540682</v>
      </c>
      <c r="L45" s="75">
        <v>1.080406188725527</v>
      </c>
      <c r="M45" s="63">
        <f t="shared" si="8"/>
        <v>15607.9</v>
      </c>
      <c r="N45" s="62">
        <f t="shared" si="9"/>
        <v>14156.4</v>
      </c>
      <c r="O45" s="62"/>
      <c r="P45" s="76"/>
      <c r="Q45" s="77"/>
      <c r="R45" s="76"/>
      <c r="S45" s="77"/>
      <c r="T45" s="64"/>
      <c r="U45" s="45">
        <f t="shared" si="10"/>
        <v>14156.4</v>
      </c>
      <c r="V45" s="65">
        <v>13679.7</v>
      </c>
    </row>
    <row r="46" spans="1:22" ht="12.75" hidden="1">
      <c r="A46" s="52" t="s">
        <v>32</v>
      </c>
      <c r="B46" s="53">
        <v>29</v>
      </c>
      <c r="C46" s="54" t="s">
        <v>52</v>
      </c>
      <c r="D46" s="55" t="s">
        <v>105</v>
      </c>
      <c r="E46" s="56" t="s">
        <v>106</v>
      </c>
      <c r="F46" s="43">
        <v>21.493</v>
      </c>
      <c r="G46" s="57"/>
      <c r="H46" s="57"/>
      <c r="I46" s="58"/>
      <c r="J46" s="59">
        <f t="shared" si="7"/>
        <v>742.8502282779862</v>
      </c>
      <c r="K46" s="60">
        <v>0.9336178972540682</v>
      </c>
      <c r="L46" s="75">
        <v>1.0519222419716932</v>
      </c>
      <c r="M46" s="63">
        <f t="shared" si="8"/>
        <v>15293.2</v>
      </c>
      <c r="N46" s="62">
        <f t="shared" si="9"/>
        <v>13870.9</v>
      </c>
      <c r="O46" s="62"/>
      <c r="P46" s="76"/>
      <c r="Q46" s="77"/>
      <c r="R46" s="76"/>
      <c r="S46" s="77"/>
      <c r="T46" s="64"/>
      <c r="U46" s="45">
        <f t="shared" si="10"/>
        <v>13870.9</v>
      </c>
      <c r="V46" s="65">
        <v>13413.4</v>
      </c>
    </row>
    <row r="47" spans="1:22" ht="12.75" hidden="1">
      <c r="A47" s="52" t="s">
        <v>32</v>
      </c>
      <c r="B47" s="53">
        <v>30</v>
      </c>
      <c r="C47" s="54" t="s">
        <v>52</v>
      </c>
      <c r="D47" s="55" t="s">
        <v>107</v>
      </c>
      <c r="E47" s="56" t="s">
        <v>108</v>
      </c>
      <c r="F47" s="43">
        <v>57.507</v>
      </c>
      <c r="G47" s="57"/>
      <c r="H47" s="57"/>
      <c r="I47" s="58"/>
      <c r="J47" s="59">
        <f t="shared" si="7"/>
        <v>742.8502282779862</v>
      </c>
      <c r="K47" s="60">
        <v>0.9336178972540682</v>
      </c>
      <c r="L47" s="75">
        <v>1.0040963997779568</v>
      </c>
      <c r="M47" s="63">
        <f t="shared" si="8"/>
        <v>39965</v>
      </c>
      <c r="N47" s="62">
        <f t="shared" si="9"/>
        <v>36248.3</v>
      </c>
      <c r="O47" s="62"/>
      <c r="P47" s="76"/>
      <c r="Q47" s="77"/>
      <c r="R47" s="76"/>
      <c r="S47" s="77"/>
      <c r="T47" s="64"/>
      <c r="U47" s="45">
        <f t="shared" si="10"/>
        <v>36248.3</v>
      </c>
      <c r="V47" s="65">
        <v>34662.3</v>
      </c>
    </row>
    <row r="48" spans="1:22" ht="12.75" hidden="1">
      <c r="A48" s="52" t="s">
        <v>32</v>
      </c>
      <c r="B48" s="53">
        <v>31</v>
      </c>
      <c r="C48" s="54" t="s">
        <v>52</v>
      </c>
      <c r="D48" s="55" t="s">
        <v>109</v>
      </c>
      <c r="E48" s="56" t="s">
        <v>110</v>
      </c>
      <c r="F48" s="43">
        <v>40.526</v>
      </c>
      <c r="G48" s="57"/>
      <c r="H48" s="57"/>
      <c r="I48" s="58"/>
      <c r="J48" s="59">
        <f t="shared" si="7"/>
        <v>742.8502282779862</v>
      </c>
      <c r="K48" s="60">
        <v>0.9336178972540682</v>
      </c>
      <c r="L48" s="75">
        <v>1.0737348719751583</v>
      </c>
      <c r="M48" s="63">
        <f t="shared" si="8"/>
        <v>29142.5</v>
      </c>
      <c r="N48" s="62">
        <f t="shared" si="9"/>
        <v>26432.2</v>
      </c>
      <c r="O48" s="62"/>
      <c r="P48" s="76"/>
      <c r="Q48" s="77"/>
      <c r="R48" s="76"/>
      <c r="S48" s="77"/>
      <c r="T48" s="64"/>
      <c r="U48" s="45">
        <f t="shared" si="10"/>
        <v>26432.2</v>
      </c>
      <c r="V48" s="65">
        <v>25377.2</v>
      </c>
    </row>
    <row r="49" spans="1:22" ht="26.25" hidden="1">
      <c r="A49" s="38" t="s">
        <v>32</v>
      </c>
      <c r="B49" s="39" t="s">
        <v>26</v>
      </c>
      <c r="C49" s="40" t="s">
        <v>111</v>
      </c>
      <c r="D49" s="41"/>
      <c r="E49" s="79" t="s">
        <v>112</v>
      </c>
      <c r="F49" s="43">
        <f>SUM(F50:F51)</f>
        <v>23.747</v>
      </c>
      <c r="G49" s="83">
        <f>SUM(G50:G51)</f>
        <v>0</v>
      </c>
      <c r="H49" s="83">
        <f>SUM(H50:H51)</f>
        <v>0</v>
      </c>
      <c r="I49" s="83"/>
      <c r="J49" s="83"/>
      <c r="K49" s="83"/>
      <c r="L49" s="84">
        <v>0</v>
      </c>
      <c r="M49" s="85">
        <f aca="true" t="shared" si="11" ref="M49:U49">SUM(M50:M51)</f>
        <v>16669.6</v>
      </c>
      <c r="N49" s="85">
        <f t="shared" si="11"/>
        <v>15119.4</v>
      </c>
      <c r="O49" s="85">
        <f t="shared" si="11"/>
        <v>0</v>
      </c>
      <c r="P49" s="85">
        <f t="shared" si="11"/>
        <v>0</v>
      </c>
      <c r="Q49" s="85">
        <f t="shared" si="11"/>
        <v>0</v>
      </c>
      <c r="R49" s="85">
        <f t="shared" si="11"/>
        <v>0</v>
      </c>
      <c r="S49" s="85">
        <f t="shared" si="11"/>
        <v>0</v>
      </c>
      <c r="T49" s="85">
        <f t="shared" si="11"/>
        <v>0</v>
      </c>
      <c r="U49" s="85">
        <f t="shared" si="11"/>
        <v>15119.4</v>
      </c>
      <c r="V49" s="86">
        <v>14480.4</v>
      </c>
    </row>
    <row r="50" spans="1:22" ht="26.25" hidden="1">
      <c r="A50" s="52" t="s">
        <v>32</v>
      </c>
      <c r="B50" s="87">
        <v>32</v>
      </c>
      <c r="C50" s="88" t="s">
        <v>113</v>
      </c>
      <c r="D50" s="89" t="s">
        <v>114</v>
      </c>
      <c r="E50" s="56" t="s">
        <v>115</v>
      </c>
      <c r="F50" s="43">
        <v>20.332</v>
      </c>
      <c r="G50" s="57"/>
      <c r="H50" s="57"/>
      <c r="I50" s="58"/>
      <c r="J50" s="59">
        <f>+($F$7-$O$952-$Q$952-$P$952-$R$952-$S$952)/($F$952-$G$952*1-$H$952*0.5)*0.646*1.0268514</f>
        <v>742.8502282779862</v>
      </c>
      <c r="K50" s="60">
        <v>0.9336178972540682</v>
      </c>
      <c r="L50" s="75">
        <v>1.023396306196936</v>
      </c>
      <c r="M50" s="63">
        <f>ROUND(J50*(F50-G50-H50*I50)*K50*(0.5+0.5*L50),1)</f>
        <v>14266</v>
      </c>
      <c r="N50" s="63">
        <f>ROUND(M50*0.907,1)</f>
        <v>12939.3</v>
      </c>
      <c r="O50" s="62"/>
      <c r="P50" s="76"/>
      <c r="Q50" s="77"/>
      <c r="R50" s="76"/>
      <c r="S50" s="77"/>
      <c r="T50" s="64"/>
      <c r="U50" s="45">
        <f>+N50+O50+T50+R50+S50+Q50</f>
        <v>12939.3</v>
      </c>
      <c r="V50" s="65">
        <v>12381.8</v>
      </c>
    </row>
    <row r="51" spans="1:22" ht="25.5" hidden="1">
      <c r="A51" s="52" t="s">
        <v>32</v>
      </c>
      <c r="B51" s="87">
        <v>33</v>
      </c>
      <c r="C51" s="88" t="s">
        <v>113</v>
      </c>
      <c r="D51" s="89" t="s">
        <v>116</v>
      </c>
      <c r="E51" s="90" t="s">
        <v>117</v>
      </c>
      <c r="F51" s="43">
        <v>3.415</v>
      </c>
      <c r="G51" s="57"/>
      <c r="H51" s="57"/>
      <c r="I51" s="58"/>
      <c r="J51" s="59">
        <f>+($F$7-$O$952-$Q$952-$P$952-$R$952-$S$952)/($F$952-$G$952*1-$H$952*0.5)*0.646*1.0268514</f>
        <v>742.8502282779862</v>
      </c>
      <c r="K51" s="60">
        <v>0.9336178972540682</v>
      </c>
      <c r="L51" s="75">
        <v>1.0296733029889928</v>
      </c>
      <c r="M51" s="63">
        <f>ROUND(J51*(F51-G51-H51*I51)*K51*(0.5+0.5*L51),1)</f>
        <v>2403.6</v>
      </c>
      <c r="N51" s="63">
        <f>ROUND(M51*0.907,1)</f>
        <v>2180.1</v>
      </c>
      <c r="O51" s="62"/>
      <c r="P51" s="76"/>
      <c r="Q51" s="77"/>
      <c r="R51" s="76"/>
      <c r="S51" s="77"/>
      <c r="T51" s="64"/>
      <c r="U51" s="45">
        <f>+N51+O51+T51+R51+S51+Q51</f>
        <v>2180.1</v>
      </c>
      <c r="V51" s="65">
        <v>2098.6</v>
      </c>
    </row>
    <row r="52" spans="1:22" s="82" customFormat="1" ht="25.5" hidden="1">
      <c r="A52" s="38" t="s">
        <v>118</v>
      </c>
      <c r="B52" s="39" t="s">
        <v>26</v>
      </c>
      <c r="C52" s="40" t="s">
        <v>27</v>
      </c>
      <c r="D52" s="41"/>
      <c r="E52" s="42" t="s">
        <v>119</v>
      </c>
      <c r="F52" s="43">
        <f>F53+F54+F59+F76</f>
        <v>1042.6680000000001</v>
      </c>
      <c r="G52" s="44">
        <f>+G53+G54+G59+G76</f>
        <v>0</v>
      </c>
      <c r="H52" s="44">
        <f>+H53+H54+H59+H76</f>
        <v>0</v>
      </c>
      <c r="I52" s="45"/>
      <c r="J52" s="46"/>
      <c r="K52" s="47"/>
      <c r="L52" s="48">
        <v>0.9590843169027308</v>
      </c>
      <c r="M52" s="49">
        <f aca="true" t="shared" si="12" ref="M52:U52">+M53+M54+M59+M76</f>
        <v>1129688.9</v>
      </c>
      <c r="N52" s="49">
        <f t="shared" si="12"/>
        <v>1129688.9000000001</v>
      </c>
      <c r="O52" s="49">
        <f t="shared" si="12"/>
        <v>0</v>
      </c>
      <c r="P52" s="49">
        <f t="shared" si="12"/>
        <v>3075.1</v>
      </c>
      <c r="Q52" s="49">
        <f t="shared" si="12"/>
        <v>13920.5</v>
      </c>
      <c r="R52" s="49">
        <f t="shared" si="12"/>
        <v>35036.5</v>
      </c>
      <c r="S52" s="49">
        <f t="shared" si="12"/>
        <v>250.9</v>
      </c>
      <c r="T52" s="49">
        <f t="shared" si="12"/>
        <v>0</v>
      </c>
      <c r="U52" s="49">
        <f t="shared" si="12"/>
        <v>1181971.9</v>
      </c>
      <c r="V52" s="65">
        <v>1122195.3</v>
      </c>
    </row>
    <row r="53" spans="1:22" s="82" customFormat="1" ht="13.5" hidden="1">
      <c r="A53" s="52" t="s">
        <v>118</v>
      </c>
      <c r="B53" s="53" t="s">
        <v>26</v>
      </c>
      <c r="C53" s="54" t="s">
        <v>29</v>
      </c>
      <c r="D53" s="41" t="s">
        <v>120</v>
      </c>
      <c r="E53" s="56" t="s">
        <v>31</v>
      </c>
      <c r="F53" s="43">
        <v>0</v>
      </c>
      <c r="G53" s="57"/>
      <c r="H53" s="57"/>
      <c r="I53" s="58"/>
      <c r="J53" s="59">
        <f>+($F$7-$O$952-$Q$952-$P$952-R$952-$S$952)/$F$952*0.354*0.951</f>
        <v>376.76602120660414</v>
      </c>
      <c r="K53" s="60">
        <v>0</v>
      </c>
      <c r="L53" s="48">
        <v>0.9590843169027308</v>
      </c>
      <c r="M53" s="49">
        <f>ROUND(J53*(F54+F59+F76)*(0.5+0.5*L53),1)</f>
        <v>384805.2</v>
      </c>
      <c r="N53" s="49">
        <f>M53+ROUND(SUM(M55:M58)*0.117+SUM(M60:M75)*0.093+SUM(M77:M83)*0.093,1)+0.2</f>
        <v>461182.50000000006</v>
      </c>
      <c r="O53" s="61"/>
      <c r="P53" s="62">
        <v>3075.1</v>
      </c>
      <c r="Q53" s="63">
        <v>13920.5</v>
      </c>
      <c r="R53" s="62">
        <v>35036.5</v>
      </c>
      <c r="S53" s="63">
        <v>250.9</v>
      </c>
      <c r="T53" s="64"/>
      <c r="U53" s="45">
        <f>N53+O53+P53+Q53+R53+S53+T53</f>
        <v>513465.50000000006</v>
      </c>
      <c r="V53" s="65">
        <v>487469.3</v>
      </c>
    </row>
    <row r="54" spans="1:22" ht="13.5" hidden="1">
      <c r="A54" s="38" t="s">
        <v>118</v>
      </c>
      <c r="B54" s="39" t="s">
        <v>26</v>
      </c>
      <c r="C54" s="40" t="s">
        <v>33</v>
      </c>
      <c r="D54" s="41"/>
      <c r="E54" s="79" t="s">
        <v>34</v>
      </c>
      <c r="F54" s="43">
        <f>SUM(F55:F58)</f>
        <v>383.733</v>
      </c>
      <c r="G54" s="67">
        <f>SUM(G55:G58)</f>
        <v>0</v>
      </c>
      <c r="H54" s="68">
        <f>SUM(H55:H58)</f>
        <v>0</v>
      </c>
      <c r="I54" s="69"/>
      <c r="J54" s="59"/>
      <c r="K54" s="70"/>
      <c r="L54" s="71">
        <v>0.9493540524014658</v>
      </c>
      <c r="M54" s="72">
        <f aca="true" t="shared" si="13" ref="M54:U54">SUM(M55:M58)</f>
        <v>295953.7</v>
      </c>
      <c r="N54" s="72">
        <f t="shared" si="13"/>
        <v>261327.1</v>
      </c>
      <c r="O54" s="72">
        <f t="shared" si="13"/>
        <v>0</v>
      </c>
      <c r="P54" s="72">
        <f t="shared" si="13"/>
        <v>0</v>
      </c>
      <c r="Q54" s="72">
        <f t="shared" si="13"/>
        <v>0</v>
      </c>
      <c r="R54" s="72">
        <f t="shared" si="13"/>
        <v>0</v>
      </c>
      <c r="S54" s="72">
        <f t="shared" si="13"/>
        <v>0</v>
      </c>
      <c r="T54" s="72">
        <f t="shared" si="13"/>
        <v>15905.1</v>
      </c>
      <c r="U54" s="72">
        <f t="shared" si="13"/>
        <v>277232.2</v>
      </c>
      <c r="V54" s="73">
        <v>247661.5</v>
      </c>
    </row>
    <row r="55" spans="1:22" s="91" customFormat="1" ht="12.75" hidden="1">
      <c r="A55" s="52" t="s">
        <v>118</v>
      </c>
      <c r="B55" s="53" t="s">
        <v>35</v>
      </c>
      <c r="C55" s="54" t="s">
        <v>36</v>
      </c>
      <c r="D55" s="41" t="s">
        <v>121</v>
      </c>
      <c r="E55" s="74" t="s">
        <v>122</v>
      </c>
      <c r="F55" s="43">
        <v>217.45</v>
      </c>
      <c r="G55" s="57"/>
      <c r="H55" s="57"/>
      <c r="I55" s="58"/>
      <c r="J55" s="59">
        <f>+($F$7-$O$952-$Q$952-$P$952-$R$952-$S$952)/($F$952-$G$952*1-$H$952*0.5)*0.646*1.0268514</f>
        <v>742.8502282779862</v>
      </c>
      <c r="K55" s="60">
        <v>1.065228053001168</v>
      </c>
      <c r="L55" s="75">
        <v>0.9454574606088155</v>
      </c>
      <c r="M55" s="63">
        <f>ROUND(J55*(F55-G55-H55*I55)*K55*(0.5+0.5*L55),1)</f>
        <v>167376.7</v>
      </c>
      <c r="N55" s="63">
        <f>ROUND(M55*0.883,1)</f>
        <v>147793.6</v>
      </c>
      <c r="O55" s="62"/>
      <c r="P55" s="76"/>
      <c r="Q55" s="77"/>
      <c r="R55" s="76"/>
      <c r="S55" s="77"/>
      <c r="T55" s="64"/>
      <c r="U55" s="45">
        <f>+N55+O55+T55+R55+S55+Q55</f>
        <v>147793.6</v>
      </c>
      <c r="V55" s="65">
        <v>139808.9</v>
      </c>
    </row>
    <row r="56" spans="1:22" ht="12.75" hidden="1">
      <c r="A56" s="52" t="s">
        <v>118</v>
      </c>
      <c r="B56" s="53" t="s">
        <v>32</v>
      </c>
      <c r="C56" s="54" t="s">
        <v>36</v>
      </c>
      <c r="D56" s="41" t="s">
        <v>123</v>
      </c>
      <c r="E56" s="78" t="s">
        <v>124</v>
      </c>
      <c r="F56" s="43">
        <v>39.306</v>
      </c>
      <c r="G56" s="57"/>
      <c r="H56" s="57"/>
      <c r="I56" s="58"/>
      <c r="J56" s="59">
        <f>+($F$7-$O$952-$Q$952-$P$952-$R$952-$S$952)/($F$952-$G$952*1-$H$952*0.5)*0.646*1.0268514</f>
        <v>742.8502282779862</v>
      </c>
      <c r="K56" s="60">
        <v>1.065228053001168</v>
      </c>
      <c r="L56" s="75">
        <v>0.9411135210335261</v>
      </c>
      <c r="M56" s="63">
        <f>ROUND(J56*(F56-G56-H56*I56)*K56*(0.5+0.5*L56),1)</f>
        <v>30187.3</v>
      </c>
      <c r="N56" s="63">
        <f>ROUND(M56*0.883,1)</f>
        <v>26655.4</v>
      </c>
      <c r="O56" s="62"/>
      <c r="P56" s="76"/>
      <c r="Q56" s="77"/>
      <c r="R56" s="76"/>
      <c r="S56" s="77"/>
      <c r="T56" s="64">
        <f>ROUND(N60+N79+N81,1)</f>
        <v>15905.1</v>
      </c>
      <c r="U56" s="45">
        <f>+N56+O56+T56+R56+S56+Q56</f>
        <v>42560.5</v>
      </c>
      <c r="V56" s="65">
        <v>25151.9</v>
      </c>
    </row>
    <row r="57" spans="1:22" ht="12.75" hidden="1">
      <c r="A57" s="52" t="s">
        <v>118</v>
      </c>
      <c r="B57" s="53" t="s">
        <v>118</v>
      </c>
      <c r="C57" s="54" t="s">
        <v>36</v>
      </c>
      <c r="D57" s="41" t="s">
        <v>125</v>
      </c>
      <c r="E57" s="78" t="s">
        <v>126</v>
      </c>
      <c r="F57" s="43">
        <v>69.235</v>
      </c>
      <c r="G57" s="57"/>
      <c r="H57" s="57"/>
      <c r="I57" s="58"/>
      <c r="J57" s="59">
        <f>+($F$7-$O$952-$Q$952-$P$952-$R$952-$S$952)/($F$952-$G$952*1-$H$952*0.5)*0.646*1.0268514</f>
        <v>742.8502282779862</v>
      </c>
      <c r="K57" s="60">
        <v>1.065228053001168</v>
      </c>
      <c r="L57" s="75">
        <v>0.9378263545276573</v>
      </c>
      <c r="M57" s="63">
        <f>ROUND(J57*(F57-G57-H57*I57)*K57*(0.5+0.5*L57),1)</f>
        <v>53082.9</v>
      </c>
      <c r="N57" s="63">
        <f>ROUND(M57*0.883,1)</f>
        <v>46872.2</v>
      </c>
      <c r="O57" s="62"/>
      <c r="P57" s="76"/>
      <c r="Q57" s="77"/>
      <c r="R57" s="76"/>
      <c r="S57" s="77"/>
      <c r="T57" s="64"/>
      <c r="U57" s="45">
        <f>+N57+O57+T57+R57+S57+Q57</f>
        <v>46872.2</v>
      </c>
      <c r="V57" s="65">
        <v>44501.4</v>
      </c>
    </row>
    <row r="58" spans="1:22" ht="12.75" hidden="1">
      <c r="A58" s="52" t="s">
        <v>118</v>
      </c>
      <c r="B58" s="53" t="s">
        <v>127</v>
      </c>
      <c r="C58" s="54" t="s">
        <v>36</v>
      </c>
      <c r="D58" s="41" t="s">
        <v>128</v>
      </c>
      <c r="E58" s="78" t="s">
        <v>129</v>
      </c>
      <c r="F58" s="43">
        <v>57.742</v>
      </c>
      <c r="G58" s="57"/>
      <c r="H58" s="57"/>
      <c r="I58" s="58"/>
      <c r="J58" s="59">
        <f>+($F$7-$O$952-$Q$952-$P$952-$R$952-$S$952)/($F$952-$G$952*1-$H$952*0.5)*0.646*1.0268514</f>
        <v>742.8502282779862</v>
      </c>
      <c r="K58" s="60">
        <v>1.065228053001168</v>
      </c>
      <c r="L58" s="75">
        <v>0.9831587764156368</v>
      </c>
      <c r="M58" s="63">
        <f>ROUND(J58*(F58-G58-H58*I58)*K58*(0.5+0.5*L58),1)</f>
        <v>45306.8</v>
      </c>
      <c r="N58" s="63">
        <f>ROUND(M58*0.883,1)</f>
        <v>40005.9</v>
      </c>
      <c r="O58" s="62"/>
      <c r="P58" s="76"/>
      <c r="Q58" s="77"/>
      <c r="R58" s="76"/>
      <c r="S58" s="77"/>
      <c r="T58" s="64"/>
      <c r="U58" s="45">
        <f>+N58+O58+T58+R58+S58+Q58</f>
        <v>40005.9</v>
      </c>
      <c r="V58" s="65">
        <v>38199.3</v>
      </c>
    </row>
    <row r="59" spans="1:22" ht="35.25" customHeight="1" hidden="1">
      <c r="A59" s="38" t="s">
        <v>118</v>
      </c>
      <c r="B59" s="39" t="s">
        <v>26</v>
      </c>
      <c r="C59" s="40" t="s">
        <v>49</v>
      </c>
      <c r="D59" s="41"/>
      <c r="E59" s="79" t="s">
        <v>50</v>
      </c>
      <c r="F59" s="43">
        <f>SUM(F60:F75)</f>
        <v>617.1450000000001</v>
      </c>
      <c r="G59" s="67">
        <f>SUM(G60:G75)</f>
        <v>0</v>
      </c>
      <c r="H59" s="68">
        <f>SUM(H60:H75)</f>
        <v>0</v>
      </c>
      <c r="I59" s="69"/>
      <c r="J59" s="80"/>
      <c r="K59" s="70"/>
      <c r="L59" s="71">
        <v>0.964680991639012</v>
      </c>
      <c r="M59" s="72">
        <f aca="true" t="shared" si="14" ref="M59:U59">SUM(M60:M75)</f>
        <v>420287</v>
      </c>
      <c r="N59" s="72">
        <f t="shared" si="14"/>
        <v>381200.1</v>
      </c>
      <c r="O59" s="72">
        <f t="shared" si="14"/>
        <v>0</v>
      </c>
      <c r="P59" s="72">
        <f t="shared" si="14"/>
        <v>0</v>
      </c>
      <c r="Q59" s="72">
        <f t="shared" si="14"/>
        <v>0</v>
      </c>
      <c r="R59" s="72">
        <f t="shared" si="14"/>
        <v>0</v>
      </c>
      <c r="S59" s="72">
        <f t="shared" si="14"/>
        <v>0</v>
      </c>
      <c r="T59" s="72">
        <f t="shared" si="14"/>
        <v>-7742.3</v>
      </c>
      <c r="U59" s="72">
        <f t="shared" si="14"/>
        <v>373457.8</v>
      </c>
      <c r="V59" s="73">
        <v>371313.1</v>
      </c>
    </row>
    <row r="60" spans="1:22" s="82" customFormat="1" ht="13.5" hidden="1">
      <c r="A60" s="52" t="s">
        <v>118</v>
      </c>
      <c r="B60" s="53" t="s">
        <v>51</v>
      </c>
      <c r="C60" s="54" t="s">
        <v>52</v>
      </c>
      <c r="D60" s="41" t="s">
        <v>130</v>
      </c>
      <c r="E60" s="56" t="s">
        <v>131</v>
      </c>
      <c r="F60" s="43">
        <v>12.392</v>
      </c>
      <c r="G60" s="57"/>
      <c r="H60" s="57"/>
      <c r="I60" s="58"/>
      <c r="J60" s="59">
        <f aca="true" t="shared" si="15" ref="J60:J75">+($F$7-$O$952-$Q$952-$P$952-$R$952-$S$952)/($F$952-$G$952*1-$H$952*0.5)*0.646*1.0268514</f>
        <v>742.8502282779862</v>
      </c>
      <c r="K60" s="60">
        <v>0.9336178972540682</v>
      </c>
      <c r="L60" s="75">
        <v>0.986483376132855</v>
      </c>
      <c r="M60" s="63">
        <f aca="true" t="shared" si="16" ref="M60:M75">ROUND(J60*(F60-G60-H60*I60)*K60*(0.5+0.5*L60),1)</f>
        <v>8536.2</v>
      </c>
      <c r="N60" s="63">
        <f aca="true" t="shared" si="17" ref="N60:N75">ROUND(M60*0.907,1)</f>
        <v>7742.3</v>
      </c>
      <c r="O60" s="62"/>
      <c r="P60" s="76"/>
      <c r="Q60" s="77"/>
      <c r="R60" s="76"/>
      <c r="S60" s="77"/>
      <c r="T60" s="64">
        <f>-ROUND(N60,1)</f>
        <v>-7742.3</v>
      </c>
      <c r="U60" s="45">
        <f aca="true" t="shared" si="18" ref="U60:U75">+N60+O60+T60+R60+S60+Q60</f>
        <v>0</v>
      </c>
      <c r="V60" s="65">
        <v>7386.9</v>
      </c>
    </row>
    <row r="61" spans="1:22" ht="12.75" hidden="1">
      <c r="A61" s="52" t="s">
        <v>118</v>
      </c>
      <c r="B61" s="53" t="s">
        <v>55</v>
      </c>
      <c r="C61" s="54" t="s">
        <v>52</v>
      </c>
      <c r="D61" s="41" t="s">
        <v>132</v>
      </c>
      <c r="E61" s="56" t="s">
        <v>133</v>
      </c>
      <c r="F61" s="43">
        <v>51.71</v>
      </c>
      <c r="G61" s="57"/>
      <c r="H61" s="57"/>
      <c r="I61" s="58"/>
      <c r="J61" s="59">
        <f t="shared" si="15"/>
        <v>742.8502282779862</v>
      </c>
      <c r="K61" s="60">
        <v>0.9336178972540682</v>
      </c>
      <c r="L61" s="75">
        <v>1.0135711653462387</v>
      </c>
      <c r="M61" s="63">
        <f t="shared" si="16"/>
        <v>36106.2</v>
      </c>
      <c r="N61" s="63">
        <f t="shared" si="17"/>
        <v>32748.3</v>
      </c>
      <c r="O61" s="62"/>
      <c r="P61" s="76"/>
      <c r="Q61" s="77"/>
      <c r="R61" s="76"/>
      <c r="S61" s="77"/>
      <c r="T61" s="64"/>
      <c r="U61" s="45">
        <f t="shared" si="18"/>
        <v>32748.3</v>
      </c>
      <c r="V61" s="65">
        <v>31328.5</v>
      </c>
    </row>
    <row r="62" spans="1:22" ht="12.75" hidden="1">
      <c r="A62" s="52" t="s">
        <v>118</v>
      </c>
      <c r="B62" s="53" t="s">
        <v>58</v>
      </c>
      <c r="C62" s="54" t="s">
        <v>52</v>
      </c>
      <c r="D62" s="41" t="s">
        <v>134</v>
      </c>
      <c r="E62" s="56" t="s">
        <v>135</v>
      </c>
      <c r="F62" s="43">
        <v>32.155</v>
      </c>
      <c r="G62" s="57"/>
      <c r="H62" s="57"/>
      <c r="I62" s="58"/>
      <c r="J62" s="59">
        <f t="shared" si="15"/>
        <v>742.8502282779862</v>
      </c>
      <c r="K62" s="60">
        <v>0.9336178972540682</v>
      </c>
      <c r="L62" s="75">
        <v>1.0058261667545751</v>
      </c>
      <c r="M62" s="63">
        <f t="shared" si="16"/>
        <v>22365.7</v>
      </c>
      <c r="N62" s="63">
        <f t="shared" si="17"/>
        <v>20285.7</v>
      </c>
      <c r="O62" s="62"/>
      <c r="P62" s="76"/>
      <c r="Q62" s="77"/>
      <c r="R62" s="76"/>
      <c r="S62" s="77"/>
      <c r="T62" s="64"/>
      <c r="U62" s="45">
        <f t="shared" si="18"/>
        <v>20285.7</v>
      </c>
      <c r="V62" s="65">
        <v>19322.1</v>
      </c>
    </row>
    <row r="63" spans="1:22" ht="12.75" hidden="1">
      <c r="A63" s="52" t="s">
        <v>118</v>
      </c>
      <c r="B63" s="53" t="s">
        <v>61</v>
      </c>
      <c r="C63" s="54" t="s">
        <v>52</v>
      </c>
      <c r="D63" s="41" t="s">
        <v>136</v>
      </c>
      <c r="E63" s="56" t="s">
        <v>137</v>
      </c>
      <c r="F63" s="43">
        <v>63.903</v>
      </c>
      <c r="G63" s="57"/>
      <c r="H63" s="57"/>
      <c r="I63" s="58"/>
      <c r="J63" s="59">
        <f t="shared" si="15"/>
        <v>742.8502282779862</v>
      </c>
      <c r="K63" s="60">
        <v>0.9336178972540682</v>
      </c>
      <c r="L63" s="75">
        <v>0.927847146940909</v>
      </c>
      <c r="M63" s="63">
        <f t="shared" si="16"/>
        <v>42720.3</v>
      </c>
      <c r="N63" s="63">
        <f t="shared" si="17"/>
        <v>38747.3</v>
      </c>
      <c r="O63" s="62"/>
      <c r="P63" s="76"/>
      <c r="Q63" s="77"/>
      <c r="R63" s="76"/>
      <c r="S63" s="77"/>
      <c r="T63" s="64"/>
      <c r="U63" s="45">
        <f t="shared" si="18"/>
        <v>38747.3</v>
      </c>
      <c r="V63" s="65">
        <v>36707.9</v>
      </c>
    </row>
    <row r="64" spans="1:22" ht="12.75" hidden="1">
      <c r="A64" s="52" t="s">
        <v>118</v>
      </c>
      <c r="B64" s="53" t="s">
        <v>64</v>
      </c>
      <c r="C64" s="54" t="s">
        <v>52</v>
      </c>
      <c r="D64" s="41" t="s">
        <v>138</v>
      </c>
      <c r="E64" s="56" t="s">
        <v>139</v>
      </c>
      <c r="F64" s="43">
        <v>63.945</v>
      </c>
      <c r="G64" s="57"/>
      <c r="H64" s="57"/>
      <c r="I64" s="58"/>
      <c r="J64" s="59">
        <f t="shared" si="15"/>
        <v>742.8502282779862</v>
      </c>
      <c r="K64" s="60">
        <v>0.9336178972540682</v>
      </c>
      <c r="L64" s="75">
        <v>0.9590788438924314</v>
      </c>
      <c r="M64" s="63">
        <f t="shared" si="16"/>
        <v>43440.9</v>
      </c>
      <c r="N64" s="63">
        <f t="shared" si="17"/>
        <v>39400.9</v>
      </c>
      <c r="O64" s="62"/>
      <c r="P64" s="76"/>
      <c r="Q64" s="77"/>
      <c r="R64" s="76"/>
      <c r="S64" s="77"/>
      <c r="T64" s="64"/>
      <c r="U64" s="45">
        <f t="shared" si="18"/>
        <v>39400.9</v>
      </c>
      <c r="V64" s="65">
        <v>37412.8</v>
      </c>
    </row>
    <row r="65" spans="1:22" ht="12.75" hidden="1">
      <c r="A65" s="52" t="s">
        <v>118</v>
      </c>
      <c r="B65" s="53">
        <v>10</v>
      </c>
      <c r="C65" s="54" t="s">
        <v>52</v>
      </c>
      <c r="D65" s="41" t="s">
        <v>140</v>
      </c>
      <c r="E65" s="56" t="s">
        <v>141</v>
      </c>
      <c r="F65" s="43">
        <v>22.36</v>
      </c>
      <c r="G65" s="57"/>
      <c r="H65" s="57"/>
      <c r="I65" s="58"/>
      <c r="J65" s="59">
        <f t="shared" si="15"/>
        <v>742.8502282779862</v>
      </c>
      <c r="K65" s="60">
        <v>0.9336178972540682</v>
      </c>
      <c r="L65" s="75">
        <v>0.9735475308814379</v>
      </c>
      <c r="M65" s="63">
        <f t="shared" si="16"/>
        <v>15302.4</v>
      </c>
      <c r="N65" s="63">
        <f t="shared" si="17"/>
        <v>13879.3</v>
      </c>
      <c r="O65" s="62"/>
      <c r="P65" s="76"/>
      <c r="Q65" s="77"/>
      <c r="R65" s="76"/>
      <c r="S65" s="77"/>
      <c r="T65" s="64"/>
      <c r="U65" s="45">
        <f t="shared" si="18"/>
        <v>13879.3</v>
      </c>
      <c r="V65" s="65">
        <v>16938.2</v>
      </c>
    </row>
    <row r="66" spans="1:22" ht="12.75" hidden="1">
      <c r="A66" s="52" t="s">
        <v>118</v>
      </c>
      <c r="B66" s="53">
        <v>11</v>
      </c>
      <c r="C66" s="54" t="s">
        <v>52</v>
      </c>
      <c r="D66" s="41" t="s">
        <v>142</v>
      </c>
      <c r="E66" s="56" t="s">
        <v>143</v>
      </c>
      <c r="F66" s="43">
        <v>22.357</v>
      </c>
      <c r="G66" s="57"/>
      <c r="H66" s="57"/>
      <c r="I66" s="58"/>
      <c r="J66" s="59">
        <f t="shared" si="15"/>
        <v>742.8502282779862</v>
      </c>
      <c r="K66" s="60">
        <v>0.9336178972540682</v>
      </c>
      <c r="L66" s="75">
        <v>0.9977139277970242</v>
      </c>
      <c r="M66" s="63">
        <f t="shared" si="16"/>
        <v>15487.7</v>
      </c>
      <c r="N66" s="63">
        <f t="shared" si="17"/>
        <v>14047.3</v>
      </c>
      <c r="O66" s="62"/>
      <c r="P66" s="76"/>
      <c r="Q66" s="77"/>
      <c r="R66" s="76"/>
      <c r="S66" s="77"/>
      <c r="T66" s="64"/>
      <c r="U66" s="45">
        <f t="shared" si="18"/>
        <v>14047.3</v>
      </c>
      <c r="V66" s="65">
        <v>13373.4</v>
      </c>
    </row>
    <row r="67" spans="1:22" ht="12.75" hidden="1">
      <c r="A67" s="52" t="s">
        <v>118</v>
      </c>
      <c r="B67" s="53">
        <v>12</v>
      </c>
      <c r="C67" s="54" t="s">
        <v>52</v>
      </c>
      <c r="D67" s="41" t="s">
        <v>144</v>
      </c>
      <c r="E67" s="56" t="s">
        <v>145</v>
      </c>
      <c r="F67" s="43">
        <v>61.758</v>
      </c>
      <c r="G67" s="57"/>
      <c r="H67" s="57"/>
      <c r="I67" s="58"/>
      <c r="J67" s="59">
        <f t="shared" si="15"/>
        <v>742.8502282779862</v>
      </c>
      <c r="K67" s="60">
        <v>0.9336178972540682</v>
      </c>
      <c r="L67" s="75">
        <v>0.9471163263628922</v>
      </c>
      <c r="M67" s="63">
        <f t="shared" si="16"/>
        <v>41699</v>
      </c>
      <c r="N67" s="63">
        <f t="shared" si="17"/>
        <v>37821</v>
      </c>
      <c r="O67" s="62"/>
      <c r="P67" s="76"/>
      <c r="Q67" s="77"/>
      <c r="R67" s="76"/>
      <c r="S67" s="77"/>
      <c r="T67" s="64"/>
      <c r="U67" s="45">
        <f t="shared" si="18"/>
        <v>37821</v>
      </c>
      <c r="V67" s="65">
        <v>35380.9</v>
      </c>
    </row>
    <row r="68" spans="1:22" ht="12.75" hidden="1">
      <c r="A68" s="52" t="s">
        <v>118</v>
      </c>
      <c r="B68" s="53">
        <v>13</v>
      </c>
      <c r="C68" s="54" t="s">
        <v>52</v>
      </c>
      <c r="D68" s="41" t="s">
        <v>146</v>
      </c>
      <c r="E68" s="56" t="s">
        <v>147</v>
      </c>
      <c r="F68" s="43">
        <v>36.041</v>
      </c>
      <c r="G68" s="57"/>
      <c r="H68" s="57"/>
      <c r="I68" s="58"/>
      <c r="J68" s="59">
        <f t="shared" si="15"/>
        <v>742.8502282779862</v>
      </c>
      <c r="K68" s="60">
        <v>0.9336178972540682</v>
      </c>
      <c r="L68" s="75">
        <v>0.93295237600506</v>
      </c>
      <c r="M68" s="63">
        <f t="shared" si="16"/>
        <v>24157.9</v>
      </c>
      <c r="N68" s="63">
        <f t="shared" si="17"/>
        <v>21911.2</v>
      </c>
      <c r="O68" s="62"/>
      <c r="P68" s="76"/>
      <c r="Q68" s="77"/>
      <c r="R68" s="76"/>
      <c r="S68" s="77"/>
      <c r="T68" s="64"/>
      <c r="U68" s="45">
        <f t="shared" si="18"/>
        <v>21911.2</v>
      </c>
      <c r="V68" s="65">
        <v>20910.4</v>
      </c>
    </row>
    <row r="69" spans="1:22" ht="12.75" hidden="1">
      <c r="A69" s="52" t="s">
        <v>118</v>
      </c>
      <c r="B69" s="53">
        <v>14</v>
      </c>
      <c r="C69" s="54" t="s">
        <v>52</v>
      </c>
      <c r="D69" s="41" t="s">
        <v>148</v>
      </c>
      <c r="E69" s="56" t="s">
        <v>149</v>
      </c>
      <c r="F69" s="43">
        <v>39.552</v>
      </c>
      <c r="G69" s="57"/>
      <c r="H69" s="57"/>
      <c r="I69" s="58"/>
      <c r="J69" s="59">
        <f t="shared" si="15"/>
        <v>742.8502282779862</v>
      </c>
      <c r="K69" s="60">
        <v>0.9336178972540682</v>
      </c>
      <c r="L69" s="75">
        <v>0.9681925513579911</v>
      </c>
      <c r="M69" s="63">
        <f t="shared" si="16"/>
        <v>26994.6</v>
      </c>
      <c r="N69" s="63">
        <f t="shared" si="17"/>
        <v>24484.1</v>
      </c>
      <c r="O69" s="62"/>
      <c r="P69" s="76"/>
      <c r="Q69" s="77"/>
      <c r="R69" s="76"/>
      <c r="S69" s="77"/>
      <c r="T69" s="64"/>
      <c r="U69" s="45">
        <f t="shared" si="18"/>
        <v>24484.1</v>
      </c>
      <c r="V69" s="65">
        <v>23307.3</v>
      </c>
    </row>
    <row r="70" spans="1:22" ht="12.75" hidden="1">
      <c r="A70" s="52" t="s">
        <v>118</v>
      </c>
      <c r="B70" s="53">
        <v>15</v>
      </c>
      <c r="C70" s="54" t="s">
        <v>52</v>
      </c>
      <c r="D70" s="41" t="s">
        <v>150</v>
      </c>
      <c r="E70" s="56" t="s">
        <v>151</v>
      </c>
      <c r="F70" s="43">
        <v>54.451</v>
      </c>
      <c r="G70" s="57"/>
      <c r="H70" s="57"/>
      <c r="I70" s="58"/>
      <c r="J70" s="59">
        <f t="shared" si="15"/>
        <v>742.8502282779862</v>
      </c>
      <c r="K70" s="60">
        <v>0.9336178972540682</v>
      </c>
      <c r="L70" s="75">
        <v>0.9457463338548922</v>
      </c>
      <c r="M70" s="63">
        <f t="shared" si="16"/>
        <v>36739.4</v>
      </c>
      <c r="N70" s="63">
        <f t="shared" si="17"/>
        <v>33322.6</v>
      </c>
      <c r="O70" s="62"/>
      <c r="P70" s="76"/>
      <c r="Q70" s="77"/>
      <c r="R70" s="76"/>
      <c r="S70" s="77"/>
      <c r="T70" s="64"/>
      <c r="U70" s="45">
        <f t="shared" si="18"/>
        <v>33322.6</v>
      </c>
      <c r="V70" s="65">
        <v>31865.7</v>
      </c>
    </row>
    <row r="71" spans="1:22" ht="12.75" hidden="1">
      <c r="A71" s="52" t="s">
        <v>118</v>
      </c>
      <c r="B71" s="53">
        <v>16</v>
      </c>
      <c r="C71" s="54" t="s">
        <v>52</v>
      </c>
      <c r="D71" s="41" t="s">
        <v>152</v>
      </c>
      <c r="E71" s="56" t="s">
        <v>153</v>
      </c>
      <c r="F71" s="43">
        <v>52.183</v>
      </c>
      <c r="G71" s="57"/>
      <c r="H71" s="57"/>
      <c r="I71" s="58"/>
      <c r="J71" s="59">
        <f t="shared" si="15"/>
        <v>742.8502282779862</v>
      </c>
      <c r="K71" s="60">
        <v>0.9336178972540682</v>
      </c>
      <c r="L71" s="75">
        <v>0.9423582713645636</v>
      </c>
      <c r="M71" s="63">
        <f t="shared" si="16"/>
        <v>35147.9</v>
      </c>
      <c r="N71" s="63">
        <f t="shared" si="17"/>
        <v>31879.1</v>
      </c>
      <c r="O71" s="62"/>
      <c r="P71" s="76"/>
      <c r="Q71" s="77"/>
      <c r="R71" s="76"/>
      <c r="S71" s="77"/>
      <c r="T71" s="64"/>
      <c r="U71" s="45">
        <f t="shared" si="18"/>
        <v>31879.1</v>
      </c>
      <c r="V71" s="65">
        <v>30260.2</v>
      </c>
    </row>
    <row r="72" spans="1:22" ht="12.75" hidden="1">
      <c r="A72" s="52" t="s">
        <v>118</v>
      </c>
      <c r="B72" s="53">
        <v>17</v>
      </c>
      <c r="C72" s="54" t="s">
        <v>52</v>
      </c>
      <c r="D72" s="41" t="s">
        <v>154</v>
      </c>
      <c r="E72" s="56" t="s">
        <v>155</v>
      </c>
      <c r="F72" s="43">
        <v>39.288</v>
      </c>
      <c r="G72" s="57"/>
      <c r="H72" s="57"/>
      <c r="I72" s="58"/>
      <c r="J72" s="59">
        <f t="shared" si="15"/>
        <v>742.8502282779862</v>
      </c>
      <c r="K72" s="60">
        <v>0.9336178972540682</v>
      </c>
      <c r="L72" s="75">
        <v>0.9727686935314025</v>
      </c>
      <c r="M72" s="63">
        <f t="shared" si="16"/>
        <v>26876.7</v>
      </c>
      <c r="N72" s="63">
        <f t="shared" si="17"/>
        <v>24377.2</v>
      </c>
      <c r="O72" s="62"/>
      <c r="P72" s="76"/>
      <c r="Q72" s="77"/>
      <c r="R72" s="76"/>
      <c r="S72" s="77"/>
      <c r="T72" s="64"/>
      <c r="U72" s="45">
        <f t="shared" si="18"/>
        <v>24377.2</v>
      </c>
      <c r="V72" s="65">
        <v>23302.4</v>
      </c>
    </row>
    <row r="73" spans="1:22" ht="12.75" hidden="1">
      <c r="A73" s="52" t="s">
        <v>118</v>
      </c>
      <c r="B73" s="53">
        <v>18</v>
      </c>
      <c r="C73" s="54" t="s">
        <v>52</v>
      </c>
      <c r="D73" s="41" t="s">
        <v>156</v>
      </c>
      <c r="E73" s="56" t="s">
        <v>157</v>
      </c>
      <c r="F73" s="43">
        <v>30.518</v>
      </c>
      <c r="G73" s="57"/>
      <c r="H73" s="57"/>
      <c r="I73" s="58"/>
      <c r="J73" s="59">
        <f t="shared" si="15"/>
        <v>742.8502282779862</v>
      </c>
      <c r="K73" s="60">
        <v>0.9336178972540682</v>
      </c>
      <c r="L73" s="75">
        <v>0.9744993518079831</v>
      </c>
      <c r="M73" s="63">
        <f t="shared" si="16"/>
        <v>20895.5</v>
      </c>
      <c r="N73" s="63">
        <f t="shared" si="17"/>
        <v>18952.2</v>
      </c>
      <c r="O73" s="62"/>
      <c r="P73" s="76"/>
      <c r="Q73" s="77"/>
      <c r="R73" s="76"/>
      <c r="S73" s="77"/>
      <c r="T73" s="64"/>
      <c r="U73" s="45">
        <f t="shared" si="18"/>
        <v>18952.2</v>
      </c>
      <c r="V73" s="65">
        <v>18060.7</v>
      </c>
    </row>
    <row r="74" spans="1:22" ht="12.75" hidden="1">
      <c r="A74" s="52" t="s">
        <v>118</v>
      </c>
      <c r="B74" s="53">
        <v>19</v>
      </c>
      <c r="C74" s="54" t="s">
        <v>52</v>
      </c>
      <c r="D74" s="41" t="s">
        <v>158</v>
      </c>
      <c r="E74" s="56" t="s">
        <v>159</v>
      </c>
      <c r="F74" s="43">
        <v>26.307</v>
      </c>
      <c r="G74" s="57"/>
      <c r="H74" s="57"/>
      <c r="I74" s="58"/>
      <c r="J74" s="59">
        <f t="shared" si="15"/>
        <v>742.8502282779862</v>
      </c>
      <c r="K74" s="60">
        <v>0.9336178972540682</v>
      </c>
      <c r="L74" s="75">
        <v>0.9934968256159856</v>
      </c>
      <c r="M74" s="63">
        <f t="shared" si="16"/>
        <v>18185.6</v>
      </c>
      <c r="N74" s="63">
        <f t="shared" si="17"/>
        <v>16494.3</v>
      </c>
      <c r="O74" s="62"/>
      <c r="P74" s="76"/>
      <c r="Q74" s="77"/>
      <c r="R74" s="76"/>
      <c r="S74" s="77"/>
      <c r="T74" s="64"/>
      <c r="U74" s="45">
        <f t="shared" si="18"/>
        <v>16494.3</v>
      </c>
      <c r="V74" s="65">
        <v>15761.7</v>
      </c>
    </row>
    <row r="75" spans="1:22" ht="12.75" hidden="1">
      <c r="A75" s="52" t="s">
        <v>118</v>
      </c>
      <c r="B75" s="53">
        <v>20</v>
      </c>
      <c r="C75" s="54" t="s">
        <v>52</v>
      </c>
      <c r="D75" s="41" t="s">
        <v>160</v>
      </c>
      <c r="E75" s="56" t="s">
        <v>161</v>
      </c>
      <c r="F75" s="43">
        <v>8.225</v>
      </c>
      <c r="G75" s="57"/>
      <c r="H75" s="57"/>
      <c r="I75" s="58"/>
      <c r="J75" s="59">
        <f t="shared" si="15"/>
        <v>742.8502282779862</v>
      </c>
      <c r="K75" s="60">
        <v>0.9336178972540682</v>
      </c>
      <c r="L75" s="75">
        <v>0.9742933537291707</v>
      </c>
      <c r="M75" s="63">
        <f t="shared" si="16"/>
        <v>5631</v>
      </c>
      <c r="N75" s="63">
        <f t="shared" si="17"/>
        <v>5107.3</v>
      </c>
      <c r="O75" s="62"/>
      <c r="P75" s="76"/>
      <c r="Q75" s="77"/>
      <c r="R75" s="76"/>
      <c r="S75" s="77"/>
      <c r="T75" s="64"/>
      <c r="U75" s="45">
        <f t="shared" si="18"/>
        <v>5107.3</v>
      </c>
      <c r="V75" s="65">
        <v>9994</v>
      </c>
    </row>
    <row r="76" spans="1:22" s="102" customFormat="1" ht="26.25" hidden="1">
      <c r="A76" s="92" t="s">
        <v>118</v>
      </c>
      <c r="B76" s="93"/>
      <c r="C76" s="94" t="s">
        <v>111</v>
      </c>
      <c r="D76" s="95"/>
      <c r="E76" s="79" t="s">
        <v>112</v>
      </c>
      <c r="F76" s="43">
        <f>SUM(F77:F83)</f>
        <v>41.78999999999999</v>
      </c>
      <c r="G76" s="96">
        <f>SUM(G77:G83)</f>
        <v>0</v>
      </c>
      <c r="H76" s="96">
        <f>SUM(H77:H83)</f>
        <v>0</v>
      </c>
      <c r="I76" s="96"/>
      <c r="J76" s="97"/>
      <c r="K76" s="98"/>
      <c r="L76" s="99">
        <v>0</v>
      </c>
      <c r="M76" s="100">
        <f>SUM(M77:M83)</f>
        <v>28642.999999999996</v>
      </c>
      <c r="N76" s="100">
        <f aca="true" t="shared" si="19" ref="N76:U76">SUM(N77:N83)</f>
        <v>25979.2</v>
      </c>
      <c r="O76" s="100">
        <f t="shared" si="19"/>
        <v>0</v>
      </c>
      <c r="P76" s="100">
        <f t="shared" si="19"/>
        <v>0</v>
      </c>
      <c r="Q76" s="100">
        <f t="shared" si="19"/>
        <v>0</v>
      </c>
      <c r="R76" s="100">
        <f t="shared" si="19"/>
        <v>0</v>
      </c>
      <c r="S76" s="100">
        <f t="shared" si="19"/>
        <v>0</v>
      </c>
      <c r="T76" s="100">
        <f t="shared" si="19"/>
        <v>-8162.799999999999</v>
      </c>
      <c r="U76" s="100">
        <f t="shared" si="19"/>
        <v>17816.4</v>
      </c>
      <c r="V76" s="101">
        <v>15751.4</v>
      </c>
    </row>
    <row r="77" spans="1:22" s="82" customFormat="1" ht="26.25" hidden="1">
      <c r="A77" s="52" t="s">
        <v>118</v>
      </c>
      <c r="B77" s="53">
        <v>21</v>
      </c>
      <c r="C77" s="54" t="s">
        <v>113</v>
      </c>
      <c r="D77" s="55" t="s">
        <v>162</v>
      </c>
      <c r="E77" s="56" t="s">
        <v>163</v>
      </c>
      <c r="F77" s="43">
        <v>4.025</v>
      </c>
      <c r="G77" s="37"/>
      <c r="H77" s="37"/>
      <c r="I77" s="103"/>
      <c r="J77" s="59">
        <f aca="true" t="shared" si="20" ref="J77:J83">+($F$7-$O$952-$Q$952-$P$952-$R$952-$S$952)/($F$952-$G$952*1-$H$952*0.5)*0.646*1.0268514</f>
        <v>742.8502282779862</v>
      </c>
      <c r="K77" s="60">
        <v>0.9336178972540682</v>
      </c>
      <c r="L77" s="75">
        <v>0.9735475308814379</v>
      </c>
      <c r="M77" s="63">
        <f aca="true" t="shared" si="21" ref="M77:M83">ROUND(J77*(F77-G77-H77*I77)*K77*(0.5+0.5*L77),1)</f>
        <v>2754.6</v>
      </c>
      <c r="N77" s="63">
        <f aca="true" t="shared" si="22" ref="N77:N83">ROUND(M77*0.907,1)</f>
        <v>2498.4</v>
      </c>
      <c r="O77" s="62"/>
      <c r="P77" s="62"/>
      <c r="Q77" s="63"/>
      <c r="R77" s="62"/>
      <c r="S77" s="63"/>
      <c r="T77" s="64"/>
      <c r="U77" s="45">
        <f aca="true" t="shared" si="23" ref="U77:U83">+N77+O77+T77+R77+S77+Q77</f>
        <v>2498.4</v>
      </c>
      <c r="V77" s="65">
        <v>2366.8</v>
      </c>
    </row>
    <row r="78" spans="1:22" s="82" customFormat="1" ht="26.25" hidden="1">
      <c r="A78" s="52" t="s">
        <v>118</v>
      </c>
      <c r="B78" s="53">
        <v>22</v>
      </c>
      <c r="C78" s="54" t="s">
        <v>113</v>
      </c>
      <c r="D78" s="41" t="s">
        <v>164</v>
      </c>
      <c r="E78" s="56" t="s">
        <v>165</v>
      </c>
      <c r="F78" s="43">
        <v>7.647</v>
      </c>
      <c r="G78" s="37"/>
      <c r="H78" s="37"/>
      <c r="I78" s="103"/>
      <c r="J78" s="59">
        <f t="shared" si="20"/>
        <v>742.8502282779862</v>
      </c>
      <c r="K78" s="60">
        <v>0.9336178972540682</v>
      </c>
      <c r="L78" s="75">
        <v>0.9735475308814379</v>
      </c>
      <c r="M78" s="63">
        <f t="shared" si="21"/>
        <v>5233.3</v>
      </c>
      <c r="N78" s="63">
        <f t="shared" si="22"/>
        <v>4746.6</v>
      </c>
      <c r="O78" s="62"/>
      <c r="P78" s="62"/>
      <c r="Q78" s="63"/>
      <c r="R78" s="62"/>
      <c r="S78" s="63"/>
      <c r="T78" s="64"/>
      <c r="U78" s="45">
        <f t="shared" si="23"/>
        <v>4746.6</v>
      </c>
      <c r="V78" s="65">
        <v>4515.3</v>
      </c>
    </row>
    <row r="79" spans="1:22" ht="25.5" hidden="1">
      <c r="A79" s="52" t="s">
        <v>118</v>
      </c>
      <c r="B79" s="53">
        <v>23</v>
      </c>
      <c r="C79" s="54" t="s">
        <v>113</v>
      </c>
      <c r="D79" s="41" t="s">
        <v>166</v>
      </c>
      <c r="E79" s="56" t="s">
        <v>167</v>
      </c>
      <c r="F79" s="43">
        <v>5.426</v>
      </c>
      <c r="G79" s="37"/>
      <c r="H79" s="37"/>
      <c r="I79" s="103"/>
      <c r="J79" s="59">
        <f t="shared" si="20"/>
        <v>742.8502282779862</v>
      </c>
      <c r="K79" s="60">
        <v>0.9336178972540682</v>
      </c>
      <c r="L79" s="75">
        <v>0.986483376132855</v>
      </c>
      <c r="M79" s="63">
        <f t="shared" si="21"/>
        <v>3737.7</v>
      </c>
      <c r="N79" s="63">
        <f t="shared" si="22"/>
        <v>3390.1</v>
      </c>
      <c r="O79" s="62"/>
      <c r="P79" s="62"/>
      <c r="Q79" s="63"/>
      <c r="R79" s="62"/>
      <c r="S79" s="63"/>
      <c r="T79" s="64">
        <f>-ROUND(N79,1)</f>
        <v>-3390.1</v>
      </c>
      <c r="U79" s="45">
        <f t="shared" si="23"/>
        <v>0</v>
      </c>
      <c r="V79" s="65">
        <v>3233.3</v>
      </c>
    </row>
    <row r="80" spans="1:22" s="91" customFormat="1" ht="25.5" hidden="1">
      <c r="A80" s="52" t="s">
        <v>118</v>
      </c>
      <c r="B80" s="53">
        <v>24</v>
      </c>
      <c r="C80" s="54" t="s">
        <v>113</v>
      </c>
      <c r="D80" s="41" t="s">
        <v>168</v>
      </c>
      <c r="E80" s="56" t="s">
        <v>169</v>
      </c>
      <c r="F80" s="43">
        <v>1.906</v>
      </c>
      <c r="G80" s="37"/>
      <c r="H80" s="37"/>
      <c r="I80" s="103"/>
      <c r="J80" s="59">
        <f t="shared" si="20"/>
        <v>742.8502282779862</v>
      </c>
      <c r="K80" s="60">
        <v>0.9336178972540682</v>
      </c>
      <c r="L80" s="75">
        <v>0.9471163263628922</v>
      </c>
      <c r="M80" s="63">
        <f t="shared" si="21"/>
        <v>1286.9</v>
      </c>
      <c r="N80" s="63">
        <f t="shared" si="22"/>
        <v>1167.2</v>
      </c>
      <c r="O80" s="62"/>
      <c r="P80" s="62"/>
      <c r="Q80" s="63"/>
      <c r="R80" s="62"/>
      <c r="S80" s="63"/>
      <c r="T80" s="64"/>
      <c r="U80" s="45">
        <f t="shared" si="23"/>
        <v>1167.2</v>
      </c>
      <c r="V80" s="65">
        <v>1090.6</v>
      </c>
    </row>
    <row r="81" spans="1:22" s="118" customFormat="1" ht="25.5" hidden="1">
      <c r="A81" s="104" t="s">
        <v>118</v>
      </c>
      <c r="B81" s="105">
        <v>25</v>
      </c>
      <c r="C81" s="106" t="s">
        <v>113</v>
      </c>
      <c r="D81" s="107" t="s">
        <v>170</v>
      </c>
      <c r="E81" s="108" t="s">
        <v>171</v>
      </c>
      <c r="F81" s="109">
        <v>7.639</v>
      </c>
      <c r="G81" s="110"/>
      <c r="H81" s="110"/>
      <c r="I81" s="111"/>
      <c r="J81" s="112">
        <f t="shared" si="20"/>
        <v>742.8502282779862</v>
      </c>
      <c r="K81" s="113">
        <v>0.9336178972540682</v>
      </c>
      <c r="L81" s="113">
        <v>0.986483376132855</v>
      </c>
      <c r="M81" s="114">
        <f t="shared" si="21"/>
        <v>5262.1</v>
      </c>
      <c r="N81" s="114">
        <f t="shared" si="22"/>
        <v>4772.7</v>
      </c>
      <c r="O81" s="114"/>
      <c r="P81" s="114"/>
      <c r="Q81" s="114"/>
      <c r="R81" s="114"/>
      <c r="S81" s="114"/>
      <c r="T81" s="115">
        <f>-ROUND(N81,1)</f>
        <v>-4772.7</v>
      </c>
      <c r="U81" s="116">
        <f t="shared" si="23"/>
        <v>0</v>
      </c>
      <c r="V81" s="117">
        <v>4545.4</v>
      </c>
    </row>
    <row r="82" spans="1:22" s="121" customFormat="1" ht="25.5" hidden="1">
      <c r="A82" s="104" t="s">
        <v>118</v>
      </c>
      <c r="B82" s="105">
        <v>26</v>
      </c>
      <c r="C82" s="106" t="s">
        <v>113</v>
      </c>
      <c r="D82" s="119" t="s">
        <v>172</v>
      </c>
      <c r="E82" s="108" t="s">
        <v>173</v>
      </c>
      <c r="F82" s="109">
        <v>6.417</v>
      </c>
      <c r="G82" s="110"/>
      <c r="H82" s="110"/>
      <c r="I82" s="111"/>
      <c r="J82" s="112">
        <f t="shared" si="20"/>
        <v>742.8502282779862</v>
      </c>
      <c r="K82" s="113">
        <v>0.9336178972540682</v>
      </c>
      <c r="L82" s="75">
        <v>0.9735475308814379</v>
      </c>
      <c r="M82" s="63">
        <f>ROUND(J82*(F82-G82-H82*I82)*K82*(0.5+0.5*L82),1)</f>
        <v>4391.6</v>
      </c>
      <c r="N82" s="63">
        <f t="shared" si="22"/>
        <v>3983.2</v>
      </c>
      <c r="O82" s="62"/>
      <c r="P82" s="114"/>
      <c r="Q82" s="63"/>
      <c r="R82" s="62"/>
      <c r="S82" s="63"/>
      <c r="T82" s="115"/>
      <c r="U82" s="115">
        <f>+N82+O82+T82+R82+S82+Q82</f>
        <v>3983.2</v>
      </c>
      <c r="V82" s="120"/>
    </row>
    <row r="83" spans="1:22" s="121" customFormat="1" ht="12.75" hidden="1">
      <c r="A83" s="104" t="s">
        <v>118</v>
      </c>
      <c r="B83" s="105">
        <v>26</v>
      </c>
      <c r="C83" s="106" t="s">
        <v>113</v>
      </c>
      <c r="D83" s="119" t="s">
        <v>172</v>
      </c>
      <c r="E83" s="108" t="s">
        <v>174</v>
      </c>
      <c r="F83" s="109">
        <v>8.73</v>
      </c>
      <c r="G83" s="110"/>
      <c r="H83" s="110"/>
      <c r="I83" s="111"/>
      <c r="J83" s="112">
        <f t="shared" si="20"/>
        <v>742.8502282779862</v>
      </c>
      <c r="K83" s="113">
        <v>0.9336178972540682</v>
      </c>
      <c r="L83" s="75">
        <v>0.9742933537291707</v>
      </c>
      <c r="M83" s="63">
        <f t="shared" si="21"/>
        <v>5976.8</v>
      </c>
      <c r="N83" s="63">
        <f t="shared" si="22"/>
        <v>5421</v>
      </c>
      <c r="O83" s="62"/>
      <c r="P83" s="114"/>
      <c r="Q83" s="63"/>
      <c r="R83" s="62"/>
      <c r="S83" s="63"/>
      <c r="T83" s="115"/>
      <c r="U83" s="115">
        <f t="shared" si="23"/>
        <v>5421</v>
      </c>
      <c r="V83" s="120"/>
    </row>
    <row r="84" spans="1:22" ht="25.5" hidden="1">
      <c r="A84" s="38" t="s">
        <v>127</v>
      </c>
      <c r="B84" s="39" t="s">
        <v>26</v>
      </c>
      <c r="C84" s="40" t="s">
        <v>27</v>
      </c>
      <c r="D84" s="41"/>
      <c r="E84" s="42" t="s">
        <v>175</v>
      </c>
      <c r="F84" s="43">
        <f>F85+F86+F100+F123</f>
        <v>3254.8840000000005</v>
      </c>
      <c r="G84" s="44">
        <f>+G85+G86+G100+G123</f>
        <v>0</v>
      </c>
      <c r="H84" s="44">
        <f>+H85+H86+H100+H123</f>
        <v>0</v>
      </c>
      <c r="I84" s="45"/>
      <c r="J84" s="46"/>
      <c r="K84" s="47"/>
      <c r="L84" s="48">
        <v>1.0149023674047255</v>
      </c>
      <c r="M84" s="49">
        <f aca="true" t="shared" si="24" ref="M84:U84">+M85+M86+M100+M123</f>
        <v>3747996.1</v>
      </c>
      <c r="N84" s="49">
        <f t="shared" si="24"/>
        <v>3747996.1000000006</v>
      </c>
      <c r="O84" s="49">
        <f t="shared" si="24"/>
        <v>0</v>
      </c>
      <c r="P84" s="49">
        <f t="shared" si="24"/>
        <v>478.1</v>
      </c>
      <c r="Q84" s="49">
        <f t="shared" si="24"/>
        <v>73613.7</v>
      </c>
      <c r="R84" s="49">
        <f t="shared" si="24"/>
        <v>46772.1</v>
      </c>
      <c r="S84" s="49">
        <f t="shared" si="24"/>
        <v>2652</v>
      </c>
      <c r="T84" s="49">
        <f t="shared" si="24"/>
        <v>0</v>
      </c>
      <c r="U84" s="49">
        <f t="shared" si="24"/>
        <v>3871512.0000000005</v>
      </c>
      <c r="V84" s="65"/>
    </row>
    <row r="85" spans="1:22" ht="12.75" hidden="1">
      <c r="A85" s="52" t="s">
        <v>127</v>
      </c>
      <c r="B85" s="53" t="s">
        <v>26</v>
      </c>
      <c r="C85" s="54" t="s">
        <v>29</v>
      </c>
      <c r="D85" s="41" t="s">
        <v>176</v>
      </c>
      <c r="E85" s="56" t="s">
        <v>31</v>
      </c>
      <c r="F85" s="43">
        <v>0</v>
      </c>
      <c r="G85" s="57"/>
      <c r="H85" s="57"/>
      <c r="I85" s="58"/>
      <c r="J85" s="59">
        <f>+($F$7-$O$952-$Q$952-$P$952-R$952-$S$952)/$F$952*0.354*0.951</f>
        <v>376.76602120660414</v>
      </c>
      <c r="K85" s="60">
        <v>0</v>
      </c>
      <c r="L85" s="48">
        <v>1.0149023674047255</v>
      </c>
      <c r="M85" s="49">
        <f>ROUND(J85*(F86+F100+F123)*(0.5+0.5*L85),1)</f>
        <v>1235467.3</v>
      </c>
      <c r="N85" s="49">
        <f>M85+ROUND(SUM(M87:M99)*0.117+SUM(M101:M122)*0.093+SUM(M124:M138)*0.093,1)</f>
        <v>1515438.1</v>
      </c>
      <c r="O85" s="61"/>
      <c r="P85" s="62">
        <v>478.1</v>
      </c>
      <c r="Q85" s="63">
        <v>73613.7</v>
      </c>
      <c r="R85" s="62">
        <v>46772.1</v>
      </c>
      <c r="S85" s="63">
        <v>2652</v>
      </c>
      <c r="T85" s="64"/>
      <c r="U85" s="45">
        <f>N85+O85+P85+Q85+R85+S85+T85</f>
        <v>1638954.0000000002</v>
      </c>
      <c r="V85" s="65"/>
    </row>
    <row r="86" spans="1:22" ht="13.5" hidden="1">
      <c r="A86" s="38" t="s">
        <v>127</v>
      </c>
      <c r="B86" s="39" t="s">
        <v>26</v>
      </c>
      <c r="C86" s="40" t="s">
        <v>33</v>
      </c>
      <c r="D86" s="41"/>
      <c r="E86" s="79" t="s">
        <v>34</v>
      </c>
      <c r="F86" s="43">
        <f>SUM(F87:F99)</f>
        <v>2423.6890000000003</v>
      </c>
      <c r="G86" s="67">
        <f>SUM(G87:G99)</f>
        <v>0</v>
      </c>
      <c r="H86" s="68">
        <f>SUM(H87:H99)</f>
        <v>0</v>
      </c>
      <c r="I86" s="69"/>
      <c r="J86" s="59"/>
      <c r="K86" s="70"/>
      <c r="L86" s="71">
        <v>1.0120932941264882</v>
      </c>
      <c r="M86" s="72">
        <f aca="true" t="shared" si="25" ref="M86:U86">SUM(M87:M99)</f>
        <v>1929398.9000000001</v>
      </c>
      <c r="N86" s="72">
        <f t="shared" si="25"/>
        <v>1703659.2000000002</v>
      </c>
      <c r="O86" s="72">
        <f t="shared" si="25"/>
        <v>0</v>
      </c>
      <c r="P86" s="72">
        <f t="shared" si="25"/>
        <v>0</v>
      </c>
      <c r="Q86" s="72">
        <f t="shared" si="25"/>
        <v>0</v>
      </c>
      <c r="R86" s="72">
        <f t="shared" si="25"/>
        <v>0</v>
      </c>
      <c r="S86" s="72">
        <f t="shared" si="25"/>
        <v>0</v>
      </c>
      <c r="T86" s="72">
        <f t="shared" si="25"/>
        <v>989.3</v>
      </c>
      <c r="U86" s="72">
        <f t="shared" si="25"/>
        <v>1704648.5000000002</v>
      </c>
      <c r="V86" s="73"/>
    </row>
    <row r="87" spans="1:22" ht="25.5" hidden="1">
      <c r="A87" s="52" t="s">
        <v>127</v>
      </c>
      <c r="B87" s="53" t="s">
        <v>35</v>
      </c>
      <c r="C87" s="54" t="s">
        <v>36</v>
      </c>
      <c r="D87" s="41" t="s">
        <v>177</v>
      </c>
      <c r="E87" s="74" t="s">
        <v>178</v>
      </c>
      <c r="F87" s="43">
        <v>986.258</v>
      </c>
      <c r="G87" s="57"/>
      <c r="H87" s="57"/>
      <c r="I87" s="58"/>
      <c r="J87" s="59">
        <f aca="true" t="shared" si="26" ref="J87:J99">+($F$7-$O$952-$Q$952-$P$952-$R$952-$S$952)/($F$952-$G$952*1-$H$952*0.5)*0.646*1.0268514</f>
        <v>742.8502282779862</v>
      </c>
      <c r="K87" s="60">
        <v>1.065228053001168</v>
      </c>
      <c r="L87" s="75">
        <v>1.0113917364581853</v>
      </c>
      <c r="M87" s="63">
        <f aca="true" t="shared" si="27" ref="M87:M99">ROUND(J87*(F87-G87-H87*I87)*K87*(0.5+0.5*L87),1)</f>
        <v>784876</v>
      </c>
      <c r="N87" s="63">
        <f aca="true" t="shared" si="28" ref="N87:N99">ROUND(M87*0.883,1)</f>
        <v>693045.5</v>
      </c>
      <c r="O87" s="62"/>
      <c r="P87" s="76"/>
      <c r="Q87" s="77"/>
      <c r="R87" s="76"/>
      <c r="S87" s="77"/>
      <c r="T87" s="64"/>
      <c r="U87" s="45">
        <f aca="true" t="shared" si="29" ref="U87:U99">+N87+O87+T87+R87+S87+Q87</f>
        <v>693045.5</v>
      </c>
      <c r="V87" s="65"/>
    </row>
    <row r="88" spans="1:22" ht="12.75" hidden="1">
      <c r="A88" s="52" t="s">
        <v>127</v>
      </c>
      <c r="B88" s="53" t="s">
        <v>32</v>
      </c>
      <c r="C88" s="54" t="s">
        <v>36</v>
      </c>
      <c r="D88" s="41" t="s">
        <v>179</v>
      </c>
      <c r="E88" s="78" t="s">
        <v>180</v>
      </c>
      <c r="F88" s="43">
        <v>23.494</v>
      </c>
      <c r="G88" s="57"/>
      <c r="H88" s="57"/>
      <c r="I88" s="58"/>
      <c r="J88" s="59">
        <f t="shared" si="26"/>
        <v>742.8502282779862</v>
      </c>
      <c r="K88" s="60">
        <v>1.065228053001168</v>
      </c>
      <c r="L88" s="75">
        <v>1.035712999007334</v>
      </c>
      <c r="M88" s="63">
        <f t="shared" si="27"/>
        <v>18922.9</v>
      </c>
      <c r="N88" s="63">
        <f t="shared" si="28"/>
        <v>16708.9</v>
      </c>
      <c r="O88" s="62"/>
      <c r="P88" s="76"/>
      <c r="Q88" s="77"/>
      <c r="R88" s="76"/>
      <c r="S88" s="77"/>
      <c r="T88" s="64"/>
      <c r="U88" s="45">
        <f t="shared" si="29"/>
        <v>16708.9</v>
      </c>
      <c r="V88" s="65"/>
    </row>
    <row r="89" spans="1:22" ht="25.5" hidden="1">
      <c r="A89" s="52" t="s">
        <v>127</v>
      </c>
      <c r="B89" s="53" t="s">
        <v>118</v>
      </c>
      <c r="C89" s="54" t="s">
        <v>36</v>
      </c>
      <c r="D89" s="41" t="s">
        <v>181</v>
      </c>
      <c r="E89" s="78" t="s">
        <v>182</v>
      </c>
      <c r="F89" s="43">
        <v>246.235</v>
      </c>
      <c r="G89" s="57"/>
      <c r="H89" s="57"/>
      <c r="I89" s="58"/>
      <c r="J89" s="59">
        <f t="shared" si="26"/>
        <v>742.8502282779862</v>
      </c>
      <c r="K89" s="60">
        <v>1.065228053001168</v>
      </c>
      <c r="L89" s="75">
        <v>1.010861029786759</v>
      </c>
      <c r="M89" s="63">
        <f t="shared" si="27"/>
        <v>195905.1</v>
      </c>
      <c r="N89" s="63">
        <f t="shared" si="28"/>
        <v>172984.2</v>
      </c>
      <c r="O89" s="62"/>
      <c r="P89" s="76"/>
      <c r="Q89" s="77"/>
      <c r="R89" s="76"/>
      <c r="S89" s="77"/>
      <c r="T89" s="64"/>
      <c r="U89" s="45">
        <f t="shared" si="29"/>
        <v>172984.2</v>
      </c>
      <c r="V89" s="65"/>
    </row>
    <row r="90" spans="1:22" ht="12.75" hidden="1">
      <c r="A90" s="52" t="s">
        <v>127</v>
      </c>
      <c r="B90" s="53" t="s">
        <v>127</v>
      </c>
      <c r="C90" s="54" t="s">
        <v>36</v>
      </c>
      <c r="D90" s="41" t="s">
        <v>183</v>
      </c>
      <c r="E90" s="78" t="s">
        <v>184</v>
      </c>
      <c r="F90" s="43">
        <v>47.036</v>
      </c>
      <c r="G90" s="57"/>
      <c r="H90" s="57"/>
      <c r="I90" s="58"/>
      <c r="J90" s="59">
        <f t="shared" si="26"/>
        <v>742.8502282779862</v>
      </c>
      <c r="K90" s="60">
        <v>1.065228053001168</v>
      </c>
      <c r="L90" s="75">
        <v>1.0459827044284071</v>
      </c>
      <c r="M90" s="63">
        <f t="shared" si="27"/>
        <v>38075.6</v>
      </c>
      <c r="N90" s="63">
        <f t="shared" si="28"/>
        <v>33620.8</v>
      </c>
      <c r="O90" s="62"/>
      <c r="P90" s="76"/>
      <c r="Q90" s="77"/>
      <c r="R90" s="76"/>
      <c r="S90" s="77"/>
      <c r="T90" s="64"/>
      <c r="U90" s="45">
        <f t="shared" si="29"/>
        <v>33620.8</v>
      </c>
      <c r="V90" s="65"/>
    </row>
    <row r="91" spans="1:22" ht="12.75" hidden="1">
      <c r="A91" s="52" t="s">
        <v>127</v>
      </c>
      <c r="B91" s="53" t="s">
        <v>51</v>
      </c>
      <c r="C91" s="54" t="s">
        <v>36</v>
      </c>
      <c r="D91" s="41" t="s">
        <v>185</v>
      </c>
      <c r="E91" s="78" t="s">
        <v>186</v>
      </c>
      <c r="F91" s="43">
        <v>645.075</v>
      </c>
      <c r="G91" s="57"/>
      <c r="H91" s="57"/>
      <c r="I91" s="58"/>
      <c r="J91" s="59">
        <f t="shared" si="26"/>
        <v>742.8502282779862</v>
      </c>
      <c r="K91" s="60">
        <v>1.065228053001168</v>
      </c>
      <c r="L91" s="75">
        <v>1.0035384420065248</v>
      </c>
      <c r="M91" s="63">
        <f t="shared" si="27"/>
        <v>511354.1</v>
      </c>
      <c r="N91" s="63">
        <f t="shared" si="28"/>
        <v>451525.7</v>
      </c>
      <c r="O91" s="62"/>
      <c r="P91" s="76"/>
      <c r="Q91" s="77"/>
      <c r="R91" s="76"/>
      <c r="S91" s="77"/>
      <c r="T91" s="64"/>
      <c r="U91" s="45">
        <f t="shared" si="29"/>
        <v>451525.7</v>
      </c>
      <c r="V91" s="65"/>
    </row>
    <row r="92" spans="1:22" ht="12.75" hidden="1">
      <c r="A92" s="52" t="s">
        <v>127</v>
      </c>
      <c r="B92" s="53" t="s">
        <v>55</v>
      </c>
      <c r="C92" s="54" t="s">
        <v>36</v>
      </c>
      <c r="D92" s="41" t="s">
        <v>187</v>
      </c>
      <c r="E92" s="78" t="s">
        <v>188</v>
      </c>
      <c r="F92" s="43">
        <v>48.823</v>
      </c>
      <c r="G92" s="57"/>
      <c r="H92" s="57"/>
      <c r="I92" s="58"/>
      <c r="J92" s="59">
        <f t="shared" si="26"/>
        <v>742.8502282779862</v>
      </c>
      <c r="K92" s="60">
        <v>1.065228053001168</v>
      </c>
      <c r="L92" s="75">
        <v>1.03036022403759</v>
      </c>
      <c r="M92" s="63">
        <f t="shared" si="27"/>
        <v>39220.3</v>
      </c>
      <c r="N92" s="63">
        <f t="shared" si="28"/>
        <v>34631.5</v>
      </c>
      <c r="O92" s="62"/>
      <c r="P92" s="76"/>
      <c r="Q92" s="77"/>
      <c r="R92" s="76"/>
      <c r="S92" s="77"/>
      <c r="T92" s="64"/>
      <c r="U92" s="45">
        <f t="shared" si="29"/>
        <v>34631.5</v>
      </c>
      <c r="V92" s="65"/>
    </row>
    <row r="93" spans="1:22" ht="12.75" hidden="1">
      <c r="A93" s="52" t="s">
        <v>127</v>
      </c>
      <c r="B93" s="53" t="s">
        <v>58</v>
      </c>
      <c r="C93" s="54" t="s">
        <v>36</v>
      </c>
      <c r="D93" s="41" t="s">
        <v>189</v>
      </c>
      <c r="E93" s="78" t="s">
        <v>190</v>
      </c>
      <c r="F93" s="43">
        <v>115.447</v>
      </c>
      <c r="G93" s="57"/>
      <c r="H93" s="57"/>
      <c r="I93" s="58"/>
      <c r="J93" s="59">
        <f t="shared" si="26"/>
        <v>742.8502282779862</v>
      </c>
      <c r="K93" s="60">
        <v>1.065228053001168</v>
      </c>
      <c r="L93" s="75">
        <v>1.0475079421874303</v>
      </c>
      <c r="M93" s="63">
        <f t="shared" si="27"/>
        <v>93523.8</v>
      </c>
      <c r="N93" s="63">
        <f t="shared" si="28"/>
        <v>82581.5</v>
      </c>
      <c r="O93" s="62"/>
      <c r="P93" s="76"/>
      <c r="Q93" s="77"/>
      <c r="R93" s="76"/>
      <c r="S93" s="77"/>
      <c r="T93" s="64"/>
      <c r="U93" s="45">
        <f t="shared" si="29"/>
        <v>82581.5</v>
      </c>
      <c r="V93" s="65"/>
    </row>
    <row r="94" spans="1:22" ht="12.75" hidden="1">
      <c r="A94" s="52" t="s">
        <v>127</v>
      </c>
      <c r="B94" s="53" t="s">
        <v>61</v>
      </c>
      <c r="C94" s="54" t="s">
        <v>36</v>
      </c>
      <c r="D94" s="41" t="s">
        <v>191</v>
      </c>
      <c r="E94" s="78" t="s">
        <v>192</v>
      </c>
      <c r="F94" s="43">
        <v>71.427</v>
      </c>
      <c r="G94" s="57"/>
      <c r="H94" s="57"/>
      <c r="I94" s="58"/>
      <c r="J94" s="59">
        <f t="shared" si="26"/>
        <v>742.8502282779862</v>
      </c>
      <c r="K94" s="60">
        <v>1.065228053001168</v>
      </c>
      <c r="L94" s="75">
        <v>1.0104212239583856</v>
      </c>
      <c r="M94" s="63">
        <f t="shared" si="27"/>
        <v>56815</v>
      </c>
      <c r="N94" s="63">
        <f t="shared" si="28"/>
        <v>50167.6</v>
      </c>
      <c r="O94" s="62"/>
      <c r="P94" s="76"/>
      <c r="Q94" s="77"/>
      <c r="R94" s="76"/>
      <c r="S94" s="77"/>
      <c r="T94" s="64"/>
      <c r="U94" s="45">
        <f t="shared" si="29"/>
        <v>50167.6</v>
      </c>
      <c r="V94" s="65"/>
    </row>
    <row r="95" spans="1:22" ht="12.75" hidden="1">
      <c r="A95" s="52" t="s">
        <v>127</v>
      </c>
      <c r="B95" s="53" t="s">
        <v>64</v>
      </c>
      <c r="C95" s="54" t="s">
        <v>36</v>
      </c>
      <c r="D95" s="41" t="s">
        <v>193</v>
      </c>
      <c r="E95" s="78" t="s">
        <v>194</v>
      </c>
      <c r="F95" s="43">
        <v>42.269</v>
      </c>
      <c r="G95" s="57"/>
      <c r="H95" s="57"/>
      <c r="I95" s="58"/>
      <c r="J95" s="59">
        <f t="shared" si="26"/>
        <v>742.8502282779862</v>
      </c>
      <c r="K95" s="60">
        <v>1.065228053001168</v>
      </c>
      <c r="L95" s="75">
        <v>1.046273727016533</v>
      </c>
      <c r="M95" s="63">
        <f t="shared" si="27"/>
        <v>34221.5</v>
      </c>
      <c r="N95" s="63">
        <f t="shared" si="28"/>
        <v>30217.6</v>
      </c>
      <c r="O95" s="62"/>
      <c r="P95" s="76"/>
      <c r="Q95" s="77"/>
      <c r="R95" s="76"/>
      <c r="S95" s="77"/>
      <c r="T95" s="64"/>
      <c r="U95" s="45">
        <f t="shared" si="29"/>
        <v>30217.6</v>
      </c>
      <c r="V95" s="65"/>
    </row>
    <row r="96" spans="1:22" ht="12.75" hidden="1">
      <c r="A96" s="52" t="s">
        <v>127</v>
      </c>
      <c r="B96" s="53">
        <v>10</v>
      </c>
      <c r="C96" s="54" t="s">
        <v>36</v>
      </c>
      <c r="D96" s="41" t="s">
        <v>195</v>
      </c>
      <c r="E96" s="78" t="s">
        <v>196</v>
      </c>
      <c r="F96" s="43">
        <v>108.623</v>
      </c>
      <c r="G96" s="57"/>
      <c r="H96" s="57"/>
      <c r="I96" s="58"/>
      <c r="J96" s="59">
        <f t="shared" si="26"/>
        <v>742.8502282779862</v>
      </c>
      <c r="K96" s="60">
        <v>1.065228053001168</v>
      </c>
      <c r="L96" s="75">
        <v>0.9977813211378517</v>
      </c>
      <c r="M96" s="63">
        <f t="shared" si="27"/>
        <v>85858.6</v>
      </c>
      <c r="N96" s="63">
        <f t="shared" si="28"/>
        <v>75813.1</v>
      </c>
      <c r="O96" s="62"/>
      <c r="P96" s="76"/>
      <c r="Q96" s="77"/>
      <c r="R96" s="76"/>
      <c r="S96" s="77"/>
      <c r="T96" s="64">
        <f>ROUND(N99*0.04,1)+317.7+177.6+494</f>
        <v>1802.5</v>
      </c>
      <c r="U96" s="45">
        <f t="shared" si="29"/>
        <v>77615.6</v>
      </c>
      <c r="V96" s="65"/>
    </row>
    <row r="97" spans="1:22" s="82" customFormat="1" ht="13.5" hidden="1">
      <c r="A97" s="52" t="s">
        <v>127</v>
      </c>
      <c r="B97" s="53">
        <v>11</v>
      </c>
      <c r="C97" s="54" t="s">
        <v>36</v>
      </c>
      <c r="D97" s="41" t="s">
        <v>197</v>
      </c>
      <c r="E97" s="78" t="s">
        <v>198</v>
      </c>
      <c r="F97" s="43">
        <v>28.834</v>
      </c>
      <c r="G97" s="57"/>
      <c r="H97" s="57"/>
      <c r="I97" s="58"/>
      <c r="J97" s="59">
        <f t="shared" si="26"/>
        <v>742.8502282779862</v>
      </c>
      <c r="K97" s="60">
        <v>1.065228053001168</v>
      </c>
      <c r="L97" s="75">
        <v>0.9942189532108419</v>
      </c>
      <c r="M97" s="63">
        <f t="shared" si="27"/>
        <v>22750.5</v>
      </c>
      <c r="N97" s="63">
        <f t="shared" si="28"/>
        <v>20088.7</v>
      </c>
      <c r="O97" s="62"/>
      <c r="P97" s="76"/>
      <c r="Q97" s="77"/>
      <c r="R97" s="76"/>
      <c r="S97" s="77"/>
      <c r="T97" s="64"/>
      <c r="U97" s="45">
        <f t="shared" si="29"/>
        <v>20088.7</v>
      </c>
      <c r="V97" s="65"/>
    </row>
    <row r="98" spans="1:22" ht="12.75" hidden="1">
      <c r="A98" s="52" t="s">
        <v>127</v>
      </c>
      <c r="B98" s="53">
        <v>12</v>
      </c>
      <c r="C98" s="54" t="s">
        <v>36</v>
      </c>
      <c r="D98" s="41" t="s">
        <v>199</v>
      </c>
      <c r="E98" s="78" t="s">
        <v>200</v>
      </c>
      <c r="F98" s="43">
        <v>31.315</v>
      </c>
      <c r="G98" s="57"/>
      <c r="H98" s="57"/>
      <c r="I98" s="58"/>
      <c r="J98" s="59">
        <f t="shared" si="26"/>
        <v>742.8502282779862</v>
      </c>
      <c r="K98" s="60">
        <v>1.065228053001168</v>
      </c>
      <c r="L98" s="75">
        <v>1.005703282956129</v>
      </c>
      <c r="M98" s="63">
        <f t="shared" si="27"/>
        <v>24850.4</v>
      </c>
      <c r="N98" s="63">
        <f t="shared" si="28"/>
        <v>21942.9</v>
      </c>
      <c r="O98" s="62"/>
      <c r="P98" s="76"/>
      <c r="Q98" s="77"/>
      <c r="R98" s="76"/>
      <c r="S98" s="77"/>
      <c r="T98" s="64"/>
      <c r="U98" s="45">
        <f t="shared" si="29"/>
        <v>21942.9</v>
      </c>
      <c r="V98" s="65"/>
    </row>
    <row r="99" spans="1:22" ht="12.75" hidden="1">
      <c r="A99" s="52" t="s">
        <v>127</v>
      </c>
      <c r="B99" s="53">
        <v>13</v>
      </c>
      <c r="C99" s="54" t="s">
        <v>36</v>
      </c>
      <c r="D99" s="41" t="s">
        <v>201</v>
      </c>
      <c r="E99" s="78" t="s">
        <v>202</v>
      </c>
      <c r="F99" s="43">
        <v>28.853</v>
      </c>
      <c r="G99" s="57"/>
      <c r="H99" s="57"/>
      <c r="I99" s="58"/>
      <c r="J99" s="59">
        <f t="shared" si="26"/>
        <v>742.8502282779862</v>
      </c>
      <c r="K99" s="60">
        <v>1.065228053001168</v>
      </c>
      <c r="L99" s="75">
        <v>1.0169547023327288</v>
      </c>
      <c r="M99" s="63">
        <f t="shared" si="27"/>
        <v>23025.1</v>
      </c>
      <c r="N99" s="63">
        <f t="shared" si="28"/>
        <v>20331.2</v>
      </c>
      <c r="O99" s="62"/>
      <c r="P99" s="76"/>
      <c r="Q99" s="77"/>
      <c r="R99" s="76"/>
      <c r="S99" s="77"/>
      <c r="T99" s="64">
        <f>-ROUND(N99*0.04,1)</f>
        <v>-813.2</v>
      </c>
      <c r="U99" s="45">
        <f t="shared" si="29"/>
        <v>19518</v>
      </c>
      <c r="V99" s="65"/>
    </row>
    <row r="100" spans="1:22" ht="31.5" customHeight="1" hidden="1">
      <c r="A100" s="38" t="s">
        <v>127</v>
      </c>
      <c r="B100" s="39" t="s">
        <v>26</v>
      </c>
      <c r="C100" s="40" t="s">
        <v>49</v>
      </c>
      <c r="D100" s="41"/>
      <c r="E100" s="79" t="s">
        <v>50</v>
      </c>
      <c r="F100" s="43">
        <f>SUM(F101:F122)</f>
        <v>697.2609999999999</v>
      </c>
      <c r="G100" s="67">
        <f>SUM(G101:G122)</f>
        <v>0</v>
      </c>
      <c r="H100" s="68">
        <f>SUM(H101:H122)</f>
        <v>0</v>
      </c>
      <c r="I100" s="69"/>
      <c r="J100" s="80"/>
      <c r="K100" s="70"/>
      <c r="L100" s="71">
        <v>1.0230491816166796</v>
      </c>
      <c r="M100" s="72">
        <f aca="true" t="shared" si="30" ref="M100:U100">SUM(M101:M122)</f>
        <v>490048.9</v>
      </c>
      <c r="N100" s="72">
        <f t="shared" si="30"/>
        <v>444474.2</v>
      </c>
      <c r="O100" s="72">
        <f t="shared" si="30"/>
        <v>0</v>
      </c>
      <c r="P100" s="72">
        <f t="shared" si="30"/>
        <v>0</v>
      </c>
      <c r="Q100" s="72">
        <f t="shared" si="30"/>
        <v>0</v>
      </c>
      <c r="R100" s="72">
        <f t="shared" si="30"/>
        <v>0</v>
      </c>
      <c r="S100" s="72">
        <f t="shared" si="30"/>
        <v>0</v>
      </c>
      <c r="T100" s="72">
        <f t="shared" si="30"/>
        <v>-494</v>
      </c>
      <c r="U100" s="72">
        <f t="shared" si="30"/>
        <v>443980.2</v>
      </c>
      <c r="V100" s="73"/>
    </row>
    <row r="101" spans="1:22" ht="12.75" hidden="1">
      <c r="A101" s="52" t="s">
        <v>127</v>
      </c>
      <c r="B101" s="53">
        <v>14</v>
      </c>
      <c r="C101" s="54" t="s">
        <v>52</v>
      </c>
      <c r="D101" s="55" t="s">
        <v>203</v>
      </c>
      <c r="E101" s="56" t="s">
        <v>204</v>
      </c>
      <c r="F101" s="43">
        <v>0</v>
      </c>
      <c r="G101" s="57"/>
      <c r="H101" s="57"/>
      <c r="I101" s="58"/>
      <c r="J101" s="59">
        <f aca="true" t="shared" si="31" ref="J101:J122">+($F$7-$O$952-$Q$952-$P$952-$R$952-$S$952)/($F$952-$G$952*1-$H$952*0.5)*0.646*1.0268514</f>
        <v>742.8502282779862</v>
      </c>
      <c r="K101" s="60">
        <v>0.9336178972540682</v>
      </c>
      <c r="L101" s="75">
        <v>0.9812318564254734</v>
      </c>
      <c r="M101" s="63">
        <f aca="true" t="shared" si="32" ref="M101:M122">ROUND(J101*(F101-G101-H101*I101)*K101*(0.5+0.5*L101),1)</f>
        <v>0</v>
      </c>
      <c r="N101" s="63">
        <f aca="true" t="shared" si="33" ref="N101:N122">ROUND(M101*0.907,1)</f>
        <v>0</v>
      </c>
      <c r="O101" s="62"/>
      <c r="P101" s="76"/>
      <c r="Q101" s="77"/>
      <c r="R101" s="76"/>
      <c r="S101" s="77"/>
      <c r="T101" s="64"/>
      <c r="U101" s="45">
        <f aca="true" t="shared" si="34" ref="U101:U122">+N101+O101+T101+R101+S101+Q101</f>
        <v>0</v>
      </c>
      <c r="V101" s="65"/>
    </row>
    <row r="102" spans="1:22" ht="12.75" hidden="1">
      <c r="A102" s="52" t="s">
        <v>127</v>
      </c>
      <c r="B102" s="53">
        <v>15</v>
      </c>
      <c r="C102" s="54" t="s">
        <v>52</v>
      </c>
      <c r="D102" s="55" t="s">
        <v>205</v>
      </c>
      <c r="E102" s="56" t="s">
        <v>206</v>
      </c>
      <c r="F102" s="43">
        <v>32.689</v>
      </c>
      <c r="G102" s="57"/>
      <c r="H102" s="57"/>
      <c r="I102" s="58"/>
      <c r="J102" s="59">
        <f t="shared" si="31"/>
        <v>742.8502282779862</v>
      </c>
      <c r="K102" s="60">
        <v>0.9336178972540682</v>
      </c>
      <c r="L102" s="75">
        <v>1.0243825319298994</v>
      </c>
      <c r="M102" s="63">
        <f t="shared" si="32"/>
        <v>22947.5</v>
      </c>
      <c r="N102" s="63">
        <f t="shared" si="33"/>
        <v>20813.4</v>
      </c>
      <c r="O102" s="62"/>
      <c r="P102" s="76"/>
      <c r="Q102" s="77"/>
      <c r="R102" s="76"/>
      <c r="S102" s="77"/>
      <c r="T102" s="64"/>
      <c r="U102" s="45">
        <f t="shared" si="34"/>
        <v>20813.4</v>
      </c>
      <c r="V102" s="65"/>
    </row>
    <row r="103" spans="1:22" ht="12.75" hidden="1">
      <c r="A103" s="52" t="s">
        <v>127</v>
      </c>
      <c r="B103" s="53">
        <v>16</v>
      </c>
      <c r="C103" s="54" t="s">
        <v>52</v>
      </c>
      <c r="D103" s="55" t="s">
        <v>207</v>
      </c>
      <c r="E103" s="56" t="s">
        <v>208</v>
      </c>
      <c r="F103" s="43">
        <v>53.207</v>
      </c>
      <c r="G103" s="57"/>
      <c r="H103" s="57"/>
      <c r="I103" s="58"/>
      <c r="J103" s="59">
        <f t="shared" si="31"/>
        <v>742.8502282779862</v>
      </c>
      <c r="K103" s="60">
        <v>0.9336178972540682</v>
      </c>
      <c r="L103" s="75">
        <v>0.9824223075579673</v>
      </c>
      <c r="M103" s="63">
        <f t="shared" si="32"/>
        <v>36576.8</v>
      </c>
      <c r="N103" s="63">
        <f t="shared" si="33"/>
        <v>33175.2</v>
      </c>
      <c r="O103" s="62"/>
      <c r="P103" s="76"/>
      <c r="Q103" s="77"/>
      <c r="R103" s="76"/>
      <c r="S103" s="77"/>
      <c r="T103" s="64"/>
      <c r="U103" s="45">
        <f t="shared" si="34"/>
        <v>33175.2</v>
      </c>
      <c r="V103" s="65"/>
    </row>
    <row r="104" spans="1:22" ht="25.5" hidden="1">
      <c r="A104" s="52" t="s">
        <v>127</v>
      </c>
      <c r="B104" s="53">
        <v>17</v>
      </c>
      <c r="C104" s="54" t="s">
        <v>52</v>
      </c>
      <c r="D104" s="55" t="s">
        <v>209</v>
      </c>
      <c r="E104" s="90" t="s">
        <v>210</v>
      </c>
      <c r="F104" s="43">
        <v>53.066</v>
      </c>
      <c r="G104" s="57"/>
      <c r="H104" s="57"/>
      <c r="I104" s="58"/>
      <c r="J104" s="59">
        <f t="shared" si="31"/>
        <v>742.8502282779862</v>
      </c>
      <c r="K104" s="60">
        <v>0.9336178972540682</v>
      </c>
      <c r="L104" s="75">
        <v>0.9812821771302476</v>
      </c>
      <c r="M104" s="63">
        <f t="shared" si="32"/>
        <v>36458.9</v>
      </c>
      <c r="N104" s="63">
        <f t="shared" si="33"/>
        <v>33068.2</v>
      </c>
      <c r="O104" s="62"/>
      <c r="P104" s="76"/>
      <c r="Q104" s="77"/>
      <c r="R104" s="76"/>
      <c r="S104" s="77"/>
      <c r="T104" s="64"/>
      <c r="U104" s="45">
        <f t="shared" si="34"/>
        <v>33068.2</v>
      </c>
      <c r="V104" s="65"/>
    </row>
    <row r="105" spans="1:22" ht="12.75" hidden="1">
      <c r="A105" s="52" t="s">
        <v>127</v>
      </c>
      <c r="B105" s="53">
        <v>18</v>
      </c>
      <c r="C105" s="54" t="s">
        <v>52</v>
      </c>
      <c r="D105" s="55" t="s">
        <v>211</v>
      </c>
      <c r="E105" s="56" t="s">
        <v>212</v>
      </c>
      <c r="F105" s="43">
        <v>44.79</v>
      </c>
      <c r="G105" s="57"/>
      <c r="H105" s="57"/>
      <c r="I105" s="58"/>
      <c r="J105" s="59">
        <f t="shared" si="31"/>
        <v>742.8502282779862</v>
      </c>
      <c r="K105" s="60">
        <v>0.9336178972540682</v>
      </c>
      <c r="L105" s="75">
        <v>1.028328976406621</v>
      </c>
      <c r="M105" s="63">
        <f t="shared" si="32"/>
        <v>31503.6</v>
      </c>
      <c r="N105" s="63">
        <f t="shared" si="33"/>
        <v>28573.8</v>
      </c>
      <c r="O105" s="62"/>
      <c r="P105" s="76"/>
      <c r="Q105" s="77"/>
      <c r="R105" s="76"/>
      <c r="S105" s="77"/>
      <c r="T105" s="64"/>
      <c r="U105" s="45">
        <f t="shared" si="34"/>
        <v>28573.8</v>
      </c>
      <c r="V105" s="65"/>
    </row>
    <row r="106" spans="1:22" ht="12.75" hidden="1">
      <c r="A106" s="52" t="s">
        <v>127</v>
      </c>
      <c r="B106" s="53">
        <v>19</v>
      </c>
      <c r="C106" s="54" t="s">
        <v>52</v>
      </c>
      <c r="D106" s="55" t="s">
        <v>213</v>
      </c>
      <c r="E106" s="56" t="s">
        <v>214</v>
      </c>
      <c r="F106" s="43">
        <v>35.215</v>
      </c>
      <c r="G106" s="57"/>
      <c r="H106" s="57"/>
      <c r="I106" s="58"/>
      <c r="J106" s="59">
        <f t="shared" si="31"/>
        <v>742.8502282779862</v>
      </c>
      <c r="K106" s="60">
        <v>0.9336178972540682</v>
      </c>
      <c r="L106" s="75">
        <v>1.050136193612867</v>
      </c>
      <c r="M106" s="63">
        <f t="shared" si="32"/>
        <v>25035.2</v>
      </c>
      <c r="N106" s="63">
        <f t="shared" si="33"/>
        <v>22706.9</v>
      </c>
      <c r="O106" s="62"/>
      <c r="P106" s="76"/>
      <c r="Q106" s="77"/>
      <c r="R106" s="76"/>
      <c r="S106" s="77"/>
      <c r="T106" s="64"/>
      <c r="U106" s="45">
        <f t="shared" si="34"/>
        <v>22706.9</v>
      </c>
      <c r="V106" s="65"/>
    </row>
    <row r="107" spans="1:22" ht="12.75" hidden="1">
      <c r="A107" s="52" t="s">
        <v>127</v>
      </c>
      <c r="B107" s="53">
        <v>20</v>
      </c>
      <c r="C107" s="54" t="s">
        <v>52</v>
      </c>
      <c r="D107" s="55" t="s">
        <v>215</v>
      </c>
      <c r="E107" s="56" t="s">
        <v>216</v>
      </c>
      <c r="F107" s="43">
        <v>33.639</v>
      </c>
      <c r="G107" s="57"/>
      <c r="H107" s="57"/>
      <c r="I107" s="58"/>
      <c r="J107" s="59">
        <f t="shared" si="31"/>
        <v>742.8502282779862</v>
      </c>
      <c r="K107" s="60">
        <v>0.9336178972540682</v>
      </c>
      <c r="L107" s="75">
        <v>1.024257895916089</v>
      </c>
      <c r="M107" s="63">
        <f t="shared" si="32"/>
        <v>23612.9</v>
      </c>
      <c r="N107" s="63">
        <f t="shared" si="33"/>
        <v>21416.9</v>
      </c>
      <c r="O107" s="62"/>
      <c r="P107" s="76"/>
      <c r="Q107" s="77"/>
      <c r="R107" s="76"/>
      <c r="S107" s="77"/>
      <c r="T107" s="64"/>
      <c r="U107" s="45">
        <f t="shared" si="34"/>
        <v>21416.9</v>
      </c>
      <c r="V107" s="65"/>
    </row>
    <row r="108" spans="1:22" ht="12.75" hidden="1">
      <c r="A108" s="52" t="s">
        <v>127</v>
      </c>
      <c r="B108" s="53">
        <v>21</v>
      </c>
      <c r="C108" s="54" t="s">
        <v>52</v>
      </c>
      <c r="D108" s="55" t="s">
        <v>217</v>
      </c>
      <c r="E108" s="56" t="s">
        <v>218</v>
      </c>
      <c r="F108" s="43">
        <v>24.013</v>
      </c>
      <c r="G108" s="57"/>
      <c r="H108" s="57"/>
      <c r="I108" s="58"/>
      <c r="J108" s="59">
        <f t="shared" si="31"/>
        <v>742.8502282779862</v>
      </c>
      <c r="K108" s="60">
        <v>0.9336178972540682</v>
      </c>
      <c r="L108" s="75">
        <v>1.0531657070234213</v>
      </c>
      <c r="M108" s="63">
        <f t="shared" si="32"/>
        <v>17096.6</v>
      </c>
      <c r="N108" s="63">
        <f t="shared" si="33"/>
        <v>15506.6</v>
      </c>
      <c r="O108" s="62"/>
      <c r="P108" s="76"/>
      <c r="Q108" s="77"/>
      <c r="R108" s="76"/>
      <c r="S108" s="77"/>
      <c r="T108" s="64"/>
      <c r="U108" s="45">
        <f t="shared" si="34"/>
        <v>15506.6</v>
      </c>
      <c r="V108" s="65"/>
    </row>
    <row r="109" spans="1:22" ht="12.75" hidden="1">
      <c r="A109" s="52" t="s">
        <v>127</v>
      </c>
      <c r="B109" s="53">
        <v>22</v>
      </c>
      <c r="C109" s="54" t="s">
        <v>52</v>
      </c>
      <c r="D109" s="55" t="s">
        <v>219</v>
      </c>
      <c r="E109" s="56" t="s">
        <v>220</v>
      </c>
      <c r="F109" s="43">
        <v>40.791</v>
      </c>
      <c r="G109" s="57"/>
      <c r="H109" s="57"/>
      <c r="I109" s="58"/>
      <c r="J109" s="59">
        <f t="shared" si="31"/>
        <v>742.8502282779862</v>
      </c>
      <c r="K109" s="60">
        <v>0.9336178972540682</v>
      </c>
      <c r="L109" s="75">
        <v>1.0379809082151792</v>
      </c>
      <c r="M109" s="63">
        <f t="shared" si="32"/>
        <v>28827.4</v>
      </c>
      <c r="N109" s="63">
        <f t="shared" si="33"/>
        <v>26146.5</v>
      </c>
      <c r="O109" s="62"/>
      <c r="P109" s="76"/>
      <c r="Q109" s="77"/>
      <c r="R109" s="76"/>
      <c r="S109" s="77"/>
      <c r="T109" s="64"/>
      <c r="U109" s="45">
        <f t="shared" si="34"/>
        <v>26146.5</v>
      </c>
      <c r="V109" s="65"/>
    </row>
    <row r="110" spans="1:22" ht="12.75" hidden="1">
      <c r="A110" s="52" t="s">
        <v>127</v>
      </c>
      <c r="B110" s="53">
        <v>23</v>
      </c>
      <c r="C110" s="54" t="s">
        <v>52</v>
      </c>
      <c r="D110" s="55" t="s">
        <v>221</v>
      </c>
      <c r="E110" s="56" t="s">
        <v>222</v>
      </c>
      <c r="F110" s="43">
        <v>74.338</v>
      </c>
      <c r="G110" s="57"/>
      <c r="H110" s="57"/>
      <c r="I110" s="58"/>
      <c r="J110" s="59">
        <f t="shared" si="31"/>
        <v>742.8502282779862</v>
      </c>
      <c r="K110" s="60">
        <v>0.9336178972540682</v>
      </c>
      <c r="L110" s="75">
        <v>0.9923600752324565</v>
      </c>
      <c r="M110" s="63">
        <f t="shared" si="32"/>
        <v>51359.3</v>
      </c>
      <c r="N110" s="63">
        <f t="shared" si="33"/>
        <v>46582.9</v>
      </c>
      <c r="O110" s="62"/>
      <c r="P110" s="76"/>
      <c r="Q110" s="77"/>
      <c r="R110" s="76"/>
      <c r="S110" s="77"/>
      <c r="T110" s="64"/>
      <c r="U110" s="45">
        <f t="shared" si="34"/>
        <v>46582.9</v>
      </c>
      <c r="V110" s="65"/>
    </row>
    <row r="111" spans="1:22" ht="12.75" hidden="1">
      <c r="A111" s="52" t="s">
        <v>127</v>
      </c>
      <c r="B111" s="53">
        <v>24</v>
      </c>
      <c r="C111" s="54" t="s">
        <v>52</v>
      </c>
      <c r="D111" s="55" t="s">
        <v>223</v>
      </c>
      <c r="E111" s="56" t="s">
        <v>224</v>
      </c>
      <c r="F111" s="43">
        <v>13.209</v>
      </c>
      <c r="G111" s="57"/>
      <c r="H111" s="57"/>
      <c r="I111" s="58"/>
      <c r="J111" s="59">
        <f t="shared" si="31"/>
        <v>742.8502282779862</v>
      </c>
      <c r="K111" s="60">
        <v>0.9336178972540682</v>
      </c>
      <c r="L111" s="75">
        <v>1.0688421295791593</v>
      </c>
      <c r="M111" s="63">
        <f t="shared" si="32"/>
        <v>9476.3</v>
      </c>
      <c r="N111" s="63">
        <f t="shared" si="33"/>
        <v>8595</v>
      </c>
      <c r="O111" s="62"/>
      <c r="P111" s="76"/>
      <c r="Q111" s="77"/>
      <c r="R111" s="76"/>
      <c r="S111" s="77"/>
      <c r="T111" s="64"/>
      <c r="U111" s="45">
        <f t="shared" si="34"/>
        <v>8595</v>
      </c>
      <c r="V111" s="65"/>
    </row>
    <row r="112" spans="1:22" ht="12.75" hidden="1">
      <c r="A112" s="52" t="s">
        <v>127</v>
      </c>
      <c r="B112" s="53">
        <v>25</v>
      </c>
      <c r="C112" s="54" t="s">
        <v>52</v>
      </c>
      <c r="D112" s="55" t="s">
        <v>225</v>
      </c>
      <c r="E112" s="56" t="s">
        <v>226</v>
      </c>
      <c r="F112" s="43">
        <v>25.648</v>
      </c>
      <c r="G112" s="57"/>
      <c r="H112" s="57"/>
      <c r="I112" s="58"/>
      <c r="J112" s="59">
        <f t="shared" si="31"/>
        <v>742.8502282779862</v>
      </c>
      <c r="K112" s="60">
        <v>0.9336178972540682</v>
      </c>
      <c r="L112" s="75">
        <v>1.0593491003900026</v>
      </c>
      <c r="M112" s="63">
        <f t="shared" si="32"/>
        <v>18315.7</v>
      </c>
      <c r="N112" s="63">
        <f t="shared" si="33"/>
        <v>16612.3</v>
      </c>
      <c r="O112" s="62"/>
      <c r="P112" s="76"/>
      <c r="Q112" s="77"/>
      <c r="R112" s="76"/>
      <c r="S112" s="77"/>
      <c r="T112" s="64"/>
      <c r="U112" s="45">
        <f t="shared" si="34"/>
        <v>16612.3</v>
      </c>
      <c r="V112" s="65"/>
    </row>
    <row r="113" spans="1:22" ht="12.75" hidden="1">
      <c r="A113" s="52" t="s">
        <v>127</v>
      </c>
      <c r="B113" s="53">
        <v>26</v>
      </c>
      <c r="C113" s="54" t="s">
        <v>52</v>
      </c>
      <c r="D113" s="55" t="s">
        <v>227</v>
      </c>
      <c r="E113" s="56" t="s">
        <v>228</v>
      </c>
      <c r="F113" s="43">
        <v>26.637</v>
      </c>
      <c r="G113" s="57"/>
      <c r="H113" s="57"/>
      <c r="I113" s="58"/>
      <c r="J113" s="59">
        <f t="shared" si="31"/>
        <v>742.8502282779862</v>
      </c>
      <c r="K113" s="60">
        <v>0.9336178972540682</v>
      </c>
      <c r="L113" s="75">
        <v>1.0752111597380118</v>
      </c>
      <c r="M113" s="63">
        <f t="shared" si="32"/>
        <v>19168.5</v>
      </c>
      <c r="N113" s="63">
        <f t="shared" si="33"/>
        <v>17385.8</v>
      </c>
      <c r="O113" s="62"/>
      <c r="P113" s="76"/>
      <c r="Q113" s="77"/>
      <c r="R113" s="76"/>
      <c r="S113" s="77"/>
      <c r="T113" s="64"/>
      <c r="U113" s="45">
        <f t="shared" si="34"/>
        <v>17385.8</v>
      </c>
      <c r="V113" s="65"/>
    </row>
    <row r="114" spans="1:22" ht="12.75" hidden="1">
      <c r="A114" s="52" t="s">
        <v>127</v>
      </c>
      <c r="B114" s="53">
        <v>27</v>
      </c>
      <c r="C114" s="54" t="s">
        <v>52</v>
      </c>
      <c r="D114" s="55" t="s">
        <v>229</v>
      </c>
      <c r="E114" s="56" t="s">
        <v>230</v>
      </c>
      <c r="F114" s="43">
        <v>34.787</v>
      </c>
      <c r="G114" s="57"/>
      <c r="H114" s="57"/>
      <c r="I114" s="58"/>
      <c r="J114" s="59">
        <f t="shared" si="31"/>
        <v>742.8502282779862</v>
      </c>
      <c r="K114" s="60">
        <v>0.9336178972540682</v>
      </c>
      <c r="L114" s="75">
        <v>1.04138076202436</v>
      </c>
      <c r="M114" s="63">
        <f t="shared" si="32"/>
        <v>24625.3</v>
      </c>
      <c r="N114" s="63">
        <f t="shared" si="33"/>
        <v>22335.1</v>
      </c>
      <c r="O114" s="62"/>
      <c r="P114" s="76"/>
      <c r="Q114" s="77"/>
      <c r="R114" s="76"/>
      <c r="S114" s="77"/>
      <c r="T114" s="64"/>
      <c r="U114" s="45">
        <f t="shared" si="34"/>
        <v>22335.1</v>
      </c>
      <c r="V114" s="65"/>
    </row>
    <row r="115" spans="1:22" ht="12.75" hidden="1">
      <c r="A115" s="52" t="s">
        <v>127</v>
      </c>
      <c r="B115" s="53">
        <v>28</v>
      </c>
      <c r="C115" s="54" t="s">
        <v>52</v>
      </c>
      <c r="D115" s="55" t="s">
        <v>231</v>
      </c>
      <c r="E115" s="56" t="s">
        <v>232</v>
      </c>
      <c r="F115" s="43">
        <v>44.834</v>
      </c>
      <c r="G115" s="57"/>
      <c r="H115" s="57"/>
      <c r="I115" s="58"/>
      <c r="J115" s="59">
        <f t="shared" si="31"/>
        <v>742.8502282779862</v>
      </c>
      <c r="K115" s="60">
        <v>0.9336178972540682</v>
      </c>
      <c r="L115" s="75">
        <v>1.0342116650241677</v>
      </c>
      <c r="M115" s="63">
        <f t="shared" si="32"/>
        <v>31626</v>
      </c>
      <c r="N115" s="63">
        <f t="shared" si="33"/>
        <v>28684.8</v>
      </c>
      <c r="O115" s="62"/>
      <c r="P115" s="76"/>
      <c r="Q115" s="77"/>
      <c r="R115" s="76"/>
      <c r="S115" s="77"/>
      <c r="T115" s="64"/>
      <c r="U115" s="45">
        <f t="shared" si="34"/>
        <v>28684.8</v>
      </c>
      <c r="V115" s="65"/>
    </row>
    <row r="116" spans="1:22" ht="12.75" hidden="1">
      <c r="A116" s="52" t="s">
        <v>127</v>
      </c>
      <c r="B116" s="53">
        <v>29</v>
      </c>
      <c r="C116" s="54" t="s">
        <v>52</v>
      </c>
      <c r="D116" s="55" t="s">
        <v>233</v>
      </c>
      <c r="E116" s="56" t="s">
        <v>234</v>
      </c>
      <c r="F116" s="43">
        <v>38.271</v>
      </c>
      <c r="G116" s="57"/>
      <c r="H116" s="57"/>
      <c r="I116" s="58"/>
      <c r="J116" s="59">
        <f t="shared" si="31"/>
        <v>742.8502282779862</v>
      </c>
      <c r="K116" s="60">
        <v>0.9336178972540682</v>
      </c>
      <c r="L116" s="75">
        <v>1.0235866533602649</v>
      </c>
      <c r="M116" s="63">
        <f t="shared" si="32"/>
        <v>26855.4</v>
      </c>
      <c r="N116" s="63">
        <f t="shared" si="33"/>
        <v>24357.8</v>
      </c>
      <c r="O116" s="62"/>
      <c r="P116" s="76"/>
      <c r="Q116" s="77"/>
      <c r="R116" s="76"/>
      <c r="S116" s="77"/>
      <c r="T116" s="64"/>
      <c r="U116" s="45">
        <f t="shared" si="34"/>
        <v>24357.8</v>
      </c>
      <c r="V116" s="65"/>
    </row>
    <row r="117" spans="1:22" ht="12.75" hidden="1">
      <c r="A117" s="52" t="s">
        <v>127</v>
      </c>
      <c r="B117" s="53">
        <v>30</v>
      </c>
      <c r="C117" s="54" t="s">
        <v>52</v>
      </c>
      <c r="D117" s="55" t="s">
        <v>235</v>
      </c>
      <c r="E117" s="56" t="s">
        <v>236</v>
      </c>
      <c r="F117" s="43">
        <v>16.097</v>
      </c>
      <c r="G117" s="57"/>
      <c r="H117" s="57"/>
      <c r="I117" s="58"/>
      <c r="J117" s="59">
        <f t="shared" si="31"/>
        <v>742.8502282779862</v>
      </c>
      <c r="K117" s="60">
        <v>0.9336178972540682</v>
      </c>
      <c r="L117" s="75">
        <v>1.0311429326918524</v>
      </c>
      <c r="M117" s="63">
        <f t="shared" si="32"/>
        <v>11337.7</v>
      </c>
      <c r="N117" s="63">
        <f t="shared" si="33"/>
        <v>10283.3</v>
      </c>
      <c r="O117" s="62"/>
      <c r="P117" s="76"/>
      <c r="Q117" s="77"/>
      <c r="R117" s="76"/>
      <c r="S117" s="77"/>
      <c r="T117" s="64"/>
      <c r="U117" s="45">
        <f t="shared" si="34"/>
        <v>10283.3</v>
      </c>
      <c r="V117" s="65"/>
    </row>
    <row r="118" spans="1:22" ht="12.75" hidden="1">
      <c r="A118" s="52" t="s">
        <v>127</v>
      </c>
      <c r="B118" s="53">
        <v>31</v>
      </c>
      <c r="C118" s="54" t="s">
        <v>52</v>
      </c>
      <c r="D118" s="55" t="s">
        <v>237</v>
      </c>
      <c r="E118" s="56" t="s">
        <v>238</v>
      </c>
      <c r="F118" s="43">
        <v>18.951</v>
      </c>
      <c r="G118" s="57"/>
      <c r="H118" s="57"/>
      <c r="I118" s="58"/>
      <c r="J118" s="59">
        <f t="shared" si="31"/>
        <v>742.8502282779862</v>
      </c>
      <c r="K118" s="60">
        <v>0.9336178972540682</v>
      </c>
      <c r="L118" s="75">
        <v>1.0564139872320533</v>
      </c>
      <c r="M118" s="63">
        <f t="shared" si="32"/>
        <v>13514</v>
      </c>
      <c r="N118" s="63">
        <f t="shared" si="33"/>
        <v>12257.2</v>
      </c>
      <c r="O118" s="62"/>
      <c r="P118" s="76"/>
      <c r="Q118" s="77"/>
      <c r="R118" s="76"/>
      <c r="S118" s="77"/>
      <c r="T118" s="64"/>
      <c r="U118" s="45">
        <f t="shared" si="34"/>
        <v>12257.2</v>
      </c>
      <c r="V118" s="65"/>
    </row>
    <row r="119" spans="1:22" ht="12.75" hidden="1">
      <c r="A119" s="52" t="s">
        <v>127</v>
      </c>
      <c r="B119" s="53">
        <v>32</v>
      </c>
      <c r="C119" s="54" t="s">
        <v>52</v>
      </c>
      <c r="D119" s="55" t="s">
        <v>239</v>
      </c>
      <c r="E119" s="56" t="s">
        <v>240</v>
      </c>
      <c r="F119" s="43">
        <v>25.319</v>
      </c>
      <c r="G119" s="57"/>
      <c r="H119" s="57"/>
      <c r="I119" s="58"/>
      <c r="J119" s="59">
        <f t="shared" si="31"/>
        <v>742.8502282779862</v>
      </c>
      <c r="K119" s="60">
        <v>0.9336178972540682</v>
      </c>
      <c r="L119" s="75">
        <v>1.04569305540239</v>
      </c>
      <c r="M119" s="63">
        <f t="shared" si="32"/>
        <v>17960.9</v>
      </c>
      <c r="N119" s="63">
        <f t="shared" si="33"/>
        <v>16290.5</v>
      </c>
      <c r="O119" s="62"/>
      <c r="P119" s="76"/>
      <c r="Q119" s="77"/>
      <c r="R119" s="76"/>
      <c r="S119" s="77"/>
      <c r="T119" s="64"/>
      <c r="U119" s="45">
        <f t="shared" si="34"/>
        <v>16290.5</v>
      </c>
      <c r="V119" s="65"/>
    </row>
    <row r="120" spans="1:22" s="82" customFormat="1" ht="13.5" hidden="1">
      <c r="A120" s="52" t="s">
        <v>127</v>
      </c>
      <c r="B120" s="53">
        <v>33</v>
      </c>
      <c r="C120" s="54" t="s">
        <v>52</v>
      </c>
      <c r="D120" s="55" t="s">
        <v>241</v>
      </c>
      <c r="E120" s="56" t="s">
        <v>242</v>
      </c>
      <c r="F120" s="43">
        <v>21.182</v>
      </c>
      <c r="G120" s="57"/>
      <c r="H120" s="57"/>
      <c r="I120" s="58"/>
      <c r="J120" s="59">
        <f t="shared" si="31"/>
        <v>742.8502282779862</v>
      </c>
      <c r="K120" s="60">
        <v>0.9336178972540682</v>
      </c>
      <c r="L120" s="75">
        <v>1.0519542351949382</v>
      </c>
      <c r="M120" s="63">
        <f t="shared" si="32"/>
        <v>15072.1</v>
      </c>
      <c r="N120" s="63">
        <f t="shared" si="33"/>
        <v>13670.4</v>
      </c>
      <c r="O120" s="62"/>
      <c r="P120" s="76"/>
      <c r="Q120" s="77"/>
      <c r="R120" s="76"/>
      <c r="S120" s="77"/>
      <c r="T120" s="64"/>
      <c r="U120" s="45">
        <f t="shared" si="34"/>
        <v>13670.4</v>
      </c>
      <c r="V120" s="65"/>
    </row>
    <row r="121" spans="1:22" s="82" customFormat="1" ht="13.5" hidden="1">
      <c r="A121" s="52" t="s">
        <v>127</v>
      </c>
      <c r="B121" s="53">
        <v>34</v>
      </c>
      <c r="C121" s="54" t="s">
        <v>52</v>
      </c>
      <c r="D121" s="55" t="s">
        <v>243</v>
      </c>
      <c r="E121" s="56" t="s">
        <v>244</v>
      </c>
      <c r="F121" s="43">
        <v>27.333</v>
      </c>
      <c r="G121" s="57"/>
      <c r="H121" s="57"/>
      <c r="I121" s="58"/>
      <c r="J121" s="59">
        <f t="shared" si="31"/>
        <v>742.8502282779862</v>
      </c>
      <c r="K121" s="60">
        <v>0.9336178972540682</v>
      </c>
      <c r="L121" s="75">
        <v>1.045061346741192</v>
      </c>
      <c r="M121" s="63">
        <f t="shared" si="32"/>
        <v>19383.6</v>
      </c>
      <c r="N121" s="63">
        <f t="shared" si="33"/>
        <v>17580.9</v>
      </c>
      <c r="O121" s="62"/>
      <c r="P121" s="76"/>
      <c r="Q121" s="77"/>
      <c r="R121" s="76"/>
      <c r="S121" s="77"/>
      <c r="T121" s="64"/>
      <c r="U121" s="45">
        <f t="shared" si="34"/>
        <v>17580.9</v>
      </c>
      <c r="V121" s="65"/>
    </row>
    <row r="122" spans="1:22" ht="12.75" hidden="1">
      <c r="A122" s="52" t="s">
        <v>127</v>
      </c>
      <c r="B122" s="53">
        <v>35</v>
      </c>
      <c r="C122" s="54" t="s">
        <v>52</v>
      </c>
      <c r="D122" s="55" t="s">
        <v>245</v>
      </c>
      <c r="E122" s="56" t="s">
        <v>246</v>
      </c>
      <c r="F122" s="43">
        <v>13.245</v>
      </c>
      <c r="G122" s="57"/>
      <c r="H122" s="57"/>
      <c r="I122" s="58"/>
      <c r="J122" s="59">
        <f t="shared" si="31"/>
        <v>742.8502282779862</v>
      </c>
      <c r="K122" s="60">
        <v>0.9336178972540682</v>
      </c>
      <c r="L122" s="75">
        <v>1.0237932157312606</v>
      </c>
      <c r="M122" s="63">
        <f t="shared" si="32"/>
        <v>9295.2</v>
      </c>
      <c r="N122" s="63">
        <f t="shared" si="33"/>
        <v>8430.7</v>
      </c>
      <c r="O122" s="62"/>
      <c r="P122" s="76"/>
      <c r="Q122" s="77"/>
      <c r="R122" s="76"/>
      <c r="S122" s="77"/>
      <c r="T122" s="64">
        <f>-494</f>
        <v>-494</v>
      </c>
      <c r="U122" s="45">
        <f t="shared" si="34"/>
        <v>7936.700000000001</v>
      </c>
      <c r="V122" s="65"/>
    </row>
    <row r="123" spans="1:22" s="91" customFormat="1" ht="25.5" hidden="1">
      <c r="A123" s="38" t="s">
        <v>127</v>
      </c>
      <c r="B123" s="39"/>
      <c r="C123" s="40" t="s">
        <v>111</v>
      </c>
      <c r="D123" s="55"/>
      <c r="E123" s="79" t="s">
        <v>112</v>
      </c>
      <c r="F123" s="43">
        <f>SUM(F124:F138)</f>
        <v>133.93400000000003</v>
      </c>
      <c r="G123" s="83">
        <f>SUM(G124:G138)</f>
        <v>0</v>
      </c>
      <c r="H123" s="83">
        <f>SUM(H124:H138)</f>
        <v>0</v>
      </c>
      <c r="I123" s="122"/>
      <c r="J123" s="123"/>
      <c r="K123" s="122"/>
      <c r="L123" s="84">
        <v>0</v>
      </c>
      <c r="M123" s="124">
        <f aca="true" t="shared" si="35" ref="M123:U123">SUM(M124:M138)</f>
        <v>93080.99999999999</v>
      </c>
      <c r="N123" s="124">
        <f t="shared" si="35"/>
        <v>84424.59999999999</v>
      </c>
      <c r="O123" s="124">
        <f t="shared" si="35"/>
        <v>0</v>
      </c>
      <c r="P123" s="124">
        <f t="shared" si="35"/>
        <v>0</v>
      </c>
      <c r="Q123" s="124">
        <f t="shared" si="35"/>
        <v>0</v>
      </c>
      <c r="R123" s="124">
        <f t="shared" si="35"/>
        <v>0</v>
      </c>
      <c r="S123" s="124">
        <f t="shared" si="35"/>
        <v>0</v>
      </c>
      <c r="T123" s="124">
        <f t="shared" si="35"/>
        <v>-495.29999999999995</v>
      </c>
      <c r="U123" s="124">
        <f t="shared" si="35"/>
        <v>83929.29999999999</v>
      </c>
      <c r="V123" s="125"/>
    </row>
    <row r="124" spans="1:22" ht="25.5" hidden="1">
      <c r="A124" s="52" t="s">
        <v>127</v>
      </c>
      <c r="B124" s="53">
        <v>36</v>
      </c>
      <c r="C124" s="54" t="s">
        <v>113</v>
      </c>
      <c r="D124" s="41" t="s">
        <v>247</v>
      </c>
      <c r="E124" s="56" t="s">
        <v>248</v>
      </c>
      <c r="F124" s="43">
        <v>23.948</v>
      </c>
      <c r="G124" s="57"/>
      <c r="H124" s="57"/>
      <c r="I124" s="58"/>
      <c r="J124" s="59">
        <f aca="true" t="shared" si="36" ref="J124:J138">+($F$7-$O$952-$Q$952-$P$952-$R$952-$S$952)/($F$952-$G$952*1-$H$952*0.5)*0.646*1.0268514</f>
        <v>742.8502282779862</v>
      </c>
      <c r="K124" s="60">
        <v>0.9336178972540682</v>
      </c>
      <c r="L124" s="75">
        <v>0.9812318564254734</v>
      </c>
      <c r="M124" s="63">
        <f aca="true" t="shared" si="37" ref="M124:M138">ROUND(J124*(F124-G124-H124*I124)*K124*(0.5+0.5*L124),1)</f>
        <v>16453</v>
      </c>
      <c r="N124" s="63">
        <f aca="true" t="shared" si="38" ref="N124:N138">ROUND(M124*0.907,1)</f>
        <v>14922.9</v>
      </c>
      <c r="O124" s="62"/>
      <c r="P124" s="76"/>
      <c r="Q124" s="77"/>
      <c r="R124" s="76"/>
      <c r="S124" s="77"/>
      <c r="T124" s="64"/>
      <c r="U124" s="45">
        <f aca="true" t="shared" si="39" ref="U124:U138">+N124+O124+T124+R124+S124+Q124</f>
        <v>14922.9</v>
      </c>
      <c r="V124" s="65"/>
    </row>
    <row r="125" spans="1:22" ht="25.5" hidden="1">
      <c r="A125" s="52" t="s">
        <v>127</v>
      </c>
      <c r="B125" s="53">
        <v>37</v>
      </c>
      <c r="C125" s="54" t="s">
        <v>113</v>
      </c>
      <c r="D125" s="41" t="s">
        <v>249</v>
      </c>
      <c r="E125" s="56" t="s">
        <v>250</v>
      </c>
      <c r="F125" s="43">
        <v>6.957</v>
      </c>
      <c r="G125" s="57"/>
      <c r="H125" s="57"/>
      <c r="I125" s="58"/>
      <c r="J125" s="59">
        <f t="shared" si="36"/>
        <v>742.8502282779862</v>
      </c>
      <c r="K125" s="60">
        <v>0.9336178972540682</v>
      </c>
      <c r="L125" s="75">
        <v>1.0688421295791593</v>
      </c>
      <c r="M125" s="63">
        <f t="shared" si="37"/>
        <v>4991</v>
      </c>
      <c r="N125" s="63">
        <f t="shared" si="38"/>
        <v>4526.8</v>
      </c>
      <c r="O125" s="62"/>
      <c r="P125" s="76"/>
      <c r="Q125" s="77"/>
      <c r="R125" s="76"/>
      <c r="S125" s="77"/>
      <c r="T125" s="64">
        <f>-317.7</f>
        <v>-317.7</v>
      </c>
      <c r="U125" s="45">
        <f t="shared" si="39"/>
        <v>4209.1</v>
      </c>
      <c r="V125" s="65"/>
    </row>
    <row r="126" spans="1:22" ht="25.5" hidden="1">
      <c r="A126" s="52" t="s">
        <v>127</v>
      </c>
      <c r="B126" s="53">
        <v>38</v>
      </c>
      <c r="C126" s="54" t="s">
        <v>113</v>
      </c>
      <c r="D126" s="41" t="s">
        <v>251</v>
      </c>
      <c r="E126" s="56" t="s">
        <v>252</v>
      </c>
      <c r="F126" s="43">
        <v>7.649</v>
      </c>
      <c r="G126" s="57"/>
      <c r="H126" s="57"/>
      <c r="I126" s="58"/>
      <c r="J126" s="59">
        <f t="shared" si="36"/>
        <v>742.8502282779862</v>
      </c>
      <c r="K126" s="60">
        <v>0.9336178972540682</v>
      </c>
      <c r="L126" s="75">
        <v>1.0688421295791593</v>
      </c>
      <c r="M126" s="63">
        <f t="shared" si="37"/>
        <v>5487.5</v>
      </c>
      <c r="N126" s="63">
        <f t="shared" si="38"/>
        <v>4977.2</v>
      </c>
      <c r="O126" s="62"/>
      <c r="P126" s="76"/>
      <c r="Q126" s="77"/>
      <c r="R126" s="76"/>
      <c r="S126" s="77"/>
      <c r="T126" s="64">
        <f>-177.6</f>
        <v>-177.6</v>
      </c>
      <c r="U126" s="45">
        <f t="shared" si="39"/>
        <v>4799.599999999999</v>
      </c>
      <c r="V126" s="65"/>
    </row>
    <row r="127" spans="1:22" ht="25.5" hidden="1">
      <c r="A127" s="52" t="s">
        <v>127</v>
      </c>
      <c r="B127" s="53">
        <v>39</v>
      </c>
      <c r="C127" s="54" t="s">
        <v>113</v>
      </c>
      <c r="D127" s="41" t="s">
        <v>253</v>
      </c>
      <c r="E127" s="90" t="s">
        <v>254</v>
      </c>
      <c r="F127" s="43">
        <v>4.327</v>
      </c>
      <c r="G127" s="57"/>
      <c r="H127" s="57"/>
      <c r="I127" s="58"/>
      <c r="J127" s="59">
        <f t="shared" si="36"/>
        <v>742.8502282779862</v>
      </c>
      <c r="K127" s="60">
        <v>0.9336178972540682</v>
      </c>
      <c r="L127" s="75">
        <v>1.0311429326918524</v>
      </c>
      <c r="M127" s="63">
        <f t="shared" si="37"/>
        <v>3047.7</v>
      </c>
      <c r="N127" s="63">
        <f t="shared" si="38"/>
        <v>2764.3</v>
      </c>
      <c r="O127" s="62"/>
      <c r="P127" s="76"/>
      <c r="Q127" s="77"/>
      <c r="R127" s="76"/>
      <c r="S127" s="77"/>
      <c r="T127" s="64"/>
      <c r="U127" s="45">
        <f t="shared" si="39"/>
        <v>2764.3</v>
      </c>
      <c r="V127" s="65"/>
    </row>
    <row r="128" spans="1:22" ht="25.5" hidden="1">
      <c r="A128" s="52" t="s">
        <v>127</v>
      </c>
      <c r="B128" s="53">
        <v>40</v>
      </c>
      <c r="C128" s="54" t="s">
        <v>113</v>
      </c>
      <c r="D128" s="41" t="s">
        <v>255</v>
      </c>
      <c r="E128" s="56" t="s">
        <v>256</v>
      </c>
      <c r="F128" s="43">
        <v>3.137</v>
      </c>
      <c r="G128" s="57"/>
      <c r="H128" s="57"/>
      <c r="I128" s="58"/>
      <c r="J128" s="59">
        <f t="shared" si="36"/>
        <v>742.8502282779862</v>
      </c>
      <c r="K128" s="60">
        <v>0.9336178972540682</v>
      </c>
      <c r="L128" s="75">
        <v>1.0564139872320533</v>
      </c>
      <c r="M128" s="63">
        <f t="shared" si="37"/>
        <v>2237</v>
      </c>
      <c r="N128" s="63">
        <f t="shared" si="38"/>
        <v>2029</v>
      </c>
      <c r="O128" s="62"/>
      <c r="P128" s="76"/>
      <c r="Q128" s="77"/>
      <c r="R128" s="76"/>
      <c r="S128" s="77"/>
      <c r="T128" s="64"/>
      <c r="U128" s="45">
        <f t="shared" si="39"/>
        <v>2029</v>
      </c>
      <c r="V128" s="65"/>
    </row>
    <row r="129" spans="1:22" ht="25.5" hidden="1">
      <c r="A129" s="52" t="s">
        <v>127</v>
      </c>
      <c r="B129" s="53">
        <v>41</v>
      </c>
      <c r="C129" s="54" t="s">
        <v>113</v>
      </c>
      <c r="D129" s="41" t="s">
        <v>257</v>
      </c>
      <c r="E129" s="56" t="s">
        <v>258</v>
      </c>
      <c r="F129" s="43">
        <v>19.988</v>
      </c>
      <c r="G129" s="57"/>
      <c r="H129" s="57"/>
      <c r="I129" s="58"/>
      <c r="J129" s="59">
        <f t="shared" si="36"/>
        <v>742.8502282779862</v>
      </c>
      <c r="K129" s="60">
        <v>0.9336178972540682</v>
      </c>
      <c r="L129" s="75">
        <v>0.9812318564254734</v>
      </c>
      <c r="M129" s="63">
        <f t="shared" si="37"/>
        <v>13732.4</v>
      </c>
      <c r="N129" s="63">
        <f t="shared" si="38"/>
        <v>12455.3</v>
      </c>
      <c r="O129" s="62"/>
      <c r="P129" s="76"/>
      <c r="Q129" s="77"/>
      <c r="R129" s="76"/>
      <c r="S129" s="77"/>
      <c r="T129" s="64"/>
      <c r="U129" s="45">
        <f t="shared" si="39"/>
        <v>12455.3</v>
      </c>
      <c r="V129" s="65"/>
    </row>
    <row r="130" spans="1:22" ht="25.5" hidden="1">
      <c r="A130" s="52" t="s">
        <v>127</v>
      </c>
      <c r="B130" s="53">
        <v>42</v>
      </c>
      <c r="C130" s="54" t="s">
        <v>113</v>
      </c>
      <c r="D130" s="41" t="s">
        <v>259</v>
      </c>
      <c r="E130" s="90" t="s">
        <v>260</v>
      </c>
      <c r="F130" s="43">
        <v>6.754</v>
      </c>
      <c r="G130" s="57"/>
      <c r="H130" s="57"/>
      <c r="I130" s="58"/>
      <c r="J130" s="59">
        <f t="shared" si="36"/>
        <v>742.8502282779862</v>
      </c>
      <c r="K130" s="60">
        <v>0.9336178972540682</v>
      </c>
      <c r="L130" s="75">
        <v>0.9812318564254734</v>
      </c>
      <c r="M130" s="63">
        <f t="shared" si="37"/>
        <v>4640.2</v>
      </c>
      <c r="N130" s="63">
        <f t="shared" si="38"/>
        <v>4208.7</v>
      </c>
      <c r="O130" s="62"/>
      <c r="P130" s="76"/>
      <c r="Q130" s="77"/>
      <c r="R130" s="76"/>
      <c r="S130" s="77"/>
      <c r="T130" s="64"/>
      <c r="U130" s="45">
        <f t="shared" si="39"/>
        <v>4208.7</v>
      </c>
      <c r="V130" s="65"/>
    </row>
    <row r="131" spans="1:22" ht="25.5" hidden="1">
      <c r="A131" s="52" t="s">
        <v>127</v>
      </c>
      <c r="B131" s="53">
        <v>43</v>
      </c>
      <c r="C131" s="54" t="s">
        <v>113</v>
      </c>
      <c r="D131" s="41" t="s">
        <v>261</v>
      </c>
      <c r="E131" s="56" t="s">
        <v>262</v>
      </c>
      <c r="F131" s="43">
        <v>2.185</v>
      </c>
      <c r="G131" s="57"/>
      <c r="H131" s="57"/>
      <c r="I131" s="58"/>
      <c r="J131" s="59">
        <f t="shared" si="36"/>
        <v>742.8502282779862</v>
      </c>
      <c r="K131" s="60">
        <v>0.9336178972540682</v>
      </c>
      <c r="L131" s="75">
        <v>1.0519542351949382</v>
      </c>
      <c r="M131" s="63">
        <f t="shared" si="37"/>
        <v>1554.7</v>
      </c>
      <c r="N131" s="63">
        <f t="shared" si="38"/>
        <v>1410.1</v>
      </c>
      <c r="O131" s="62"/>
      <c r="P131" s="76"/>
      <c r="Q131" s="77"/>
      <c r="R131" s="76"/>
      <c r="S131" s="77"/>
      <c r="T131" s="64"/>
      <c r="U131" s="45">
        <f t="shared" si="39"/>
        <v>1410.1</v>
      </c>
      <c r="V131" s="65"/>
    </row>
    <row r="132" spans="1:22" ht="25.5" hidden="1">
      <c r="A132" s="52" t="s">
        <v>127</v>
      </c>
      <c r="B132" s="53">
        <v>44</v>
      </c>
      <c r="C132" s="54" t="s">
        <v>113</v>
      </c>
      <c r="D132" s="41" t="s">
        <v>263</v>
      </c>
      <c r="E132" s="90" t="s">
        <v>264</v>
      </c>
      <c r="F132" s="43">
        <v>3.692</v>
      </c>
      <c r="G132" s="57"/>
      <c r="H132" s="57"/>
      <c r="I132" s="58"/>
      <c r="J132" s="59">
        <f t="shared" si="36"/>
        <v>742.8502282779862</v>
      </c>
      <c r="K132" s="60">
        <v>0.9336178972540682</v>
      </c>
      <c r="L132" s="75">
        <v>1.0519542351949382</v>
      </c>
      <c r="M132" s="63">
        <f t="shared" si="37"/>
        <v>2627.1</v>
      </c>
      <c r="N132" s="63">
        <f t="shared" si="38"/>
        <v>2382.8</v>
      </c>
      <c r="O132" s="62"/>
      <c r="P132" s="76"/>
      <c r="Q132" s="77"/>
      <c r="R132" s="76"/>
      <c r="S132" s="77"/>
      <c r="T132" s="64"/>
      <c r="U132" s="45">
        <f t="shared" si="39"/>
        <v>2382.8</v>
      </c>
      <c r="V132" s="65"/>
    </row>
    <row r="133" spans="1:22" ht="25.5" hidden="1">
      <c r="A133" s="52" t="s">
        <v>127</v>
      </c>
      <c r="B133" s="53">
        <v>45</v>
      </c>
      <c r="C133" s="54" t="s">
        <v>113</v>
      </c>
      <c r="D133" s="41" t="s">
        <v>265</v>
      </c>
      <c r="E133" s="56" t="s">
        <v>266</v>
      </c>
      <c r="F133" s="43">
        <v>5.071</v>
      </c>
      <c r="G133" s="57"/>
      <c r="H133" s="57"/>
      <c r="I133" s="58"/>
      <c r="J133" s="59">
        <f t="shared" si="36"/>
        <v>742.8502282779862</v>
      </c>
      <c r="K133" s="60">
        <v>0.9336178972540682</v>
      </c>
      <c r="L133" s="75">
        <v>0.9812318564254734</v>
      </c>
      <c r="M133" s="63">
        <f t="shared" si="37"/>
        <v>3483.9</v>
      </c>
      <c r="N133" s="63">
        <f t="shared" si="38"/>
        <v>3159.9</v>
      </c>
      <c r="O133" s="62"/>
      <c r="P133" s="76"/>
      <c r="Q133" s="77"/>
      <c r="R133" s="76"/>
      <c r="S133" s="77"/>
      <c r="T133" s="64"/>
      <c r="U133" s="45">
        <f t="shared" si="39"/>
        <v>3159.9</v>
      </c>
      <c r="V133" s="65"/>
    </row>
    <row r="134" spans="1:22" ht="38.25" hidden="1">
      <c r="A134" s="52" t="s">
        <v>127</v>
      </c>
      <c r="B134" s="53">
        <v>46</v>
      </c>
      <c r="C134" s="54" t="s">
        <v>113</v>
      </c>
      <c r="D134" s="41" t="s">
        <v>267</v>
      </c>
      <c r="E134" s="56" t="s">
        <v>268</v>
      </c>
      <c r="F134" s="43">
        <v>11.218</v>
      </c>
      <c r="G134" s="57"/>
      <c r="H134" s="57"/>
      <c r="I134" s="58"/>
      <c r="J134" s="59">
        <f t="shared" si="36"/>
        <v>742.8502282779862</v>
      </c>
      <c r="K134" s="60">
        <v>0.9336178972540682</v>
      </c>
      <c r="L134" s="75">
        <v>0.9812821771302476</v>
      </c>
      <c r="M134" s="63">
        <f t="shared" si="37"/>
        <v>7707.3</v>
      </c>
      <c r="N134" s="63">
        <f t="shared" si="38"/>
        <v>6990.5</v>
      </c>
      <c r="O134" s="62"/>
      <c r="P134" s="76"/>
      <c r="Q134" s="77"/>
      <c r="R134" s="76"/>
      <c r="S134" s="77"/>
      <c r="T134" s="64"/>
      <c r="U134" s="45">
        <f t="shared" si="39"/>
        <v>6990.5</v>
      </c>
      <c r="V134" s="65"/>
    </row>
    <row r="135" spans="1:22" ht="25.5" hidden="1">
      <c r="A135" s="52" t="s">
        <v>127</v>
      </c>
      <c r="B135" s="53">
        <v>47</v>
      </c>
      <c r="C135" s="54" t="s">
        <v>113</v>
      </c>
      <c r="D135" s="41" t="s">
        <v>269</v>
      </c>
      <c r="E135" s="56" t="s">
        <v>270</v>
      </c>
      <c r="F135" s="43">
        <v>4.319</v>
      </c>
      <c r="G135" s="57"/>
      <c r="H135" s="57"/>
      <c r="I135" s="58"/>
      <c r="J135" s="59">
        <f t="shared" si="36"/>
        <v>742.8502282779862</v>
      </c>
      <c r="K135" s="60">
        <v>0.9336178972540682</v>
      </c>
      <c r="L135" s="75">
        <v>1.0311429326918524</v>
      </c>
      <c r="M135" s="63">
        <f t="shared" si="37"/>
        <v>3042</v>
      </c>
      <c r="N135" s="63">
        <f t="shared" si="38"/>
        <v>2759.1</v>
      </c>
      <c r="O135" s="62"/>
      <c r="P135" s="76"/>
      <c r="Q135" s="77"/>
      <c r="R135" s="76"/>
      <c r="S135" s="77"/>
      <c r="T135" s="64"/>
      <c r="U135" s="45">
        <f t="shared" si="39"/>
        <v>2759.1</v>
      </c>
      <c r="V135" s="65"/>
    </row>
    <row r="136" spans="1:22" ht="25.5" hidden="1">
      <c r="A136" s="52" t="s">
        <v>127</v>
      </c>
      <c r="B136" s="53">
        <v>48</v>
      </c>
      <c r="C136" s="54" t="s">
        <v>113</v>
      </c>
      <c r="D136" s="41" t="s">
        <v>271</v>
      </c>
      <c r="E136" s="56" t="s">
        <v>272</v>
      </c>
      <c r="F136" s="43">
        <v>14.123</v>
      </c>
      <c r="G136" s="57"/>
      <c r="H136" s="57"/>
      <c r="I136" s="58"/>
      <c r="J136" s="59">
        <f t="shared" si="36"/>
        <v>742.8502282779862</v>
      </c>
      <c r="K136" s="60">
        <v>0.9336178972540682</v>
      </c>
      <c r="L136" s="75">
        <v>1.0311429326918524</v>
      </c>
      <c r="M136" s="63">
        <f t="shared" si="37"/>
        <v>9947.4</v>
      </c>
      <c r="N136" s="63">
        <f t="shared" si="38"/>
        <v>9022.3</v>
      </c>
      <c r="O136" s="62"/>
      <c r="P136" s="76"/>
      <c r="Q136" s="77"/>
      <c r="R136" s="76"/>
      <c r="S136" s="77"/>
      <c r="T136" s="64"/>
      <c r="U136" s="45">
        <f t="shared" si="39"/>
        <v>9022.3</v>
      </c>
      <c r="V136" s="65"/>
    </row>
    <row r="137" spans="1:22" ht="38.25" hidden="1">
      <c r="A137" s="52" t="s">
        <v>127</v>
      </c>
      <c r="B137" s="53">
        <v>49</v>
      </c>
      <c r="C137" s="54" t="s">
        <v>113</v>
      </c>
      <c r="D137" s="55" t="s">
        <v>273</v>
      </c>
      <c r="E137" s="90" t="s">
        <v>274</v>
      </c>
      <c r="F137" s="43">
        <v>6.093</v>
      </c>
      <c r="G137" s="57"/>
      <c r="H137" s="57"/>
      <c r="I137" s="58"/>
      <c r="J137" s="59">
        <f t="shared" si="36"/>
        <v>742.8502282779862</v>
      </c>
      <c r="K137" s="60">
        <v>0.9336178972540682</v>
      </c>
      <c r="L137" s="75">
        <v>0.9812821771302476</v>
      </c>
      <c r="M137" s="63">
        <f t="shared" si="37"/>
        <v>4186.2</v>
      </c>
      <c r="N137" s="63">
        <f t="shared" si="38"/>
        <v>3796.9</v>
      </c>
      <c r="O137" s="62"/>
      <c r="P137" s="76"/>
      <c r="Q137" s="77"/>
      <c r="R137" s="76"/>
      <c r="S137" s="77"/>
      <c r="T137" s="64"/>
      <c r="U137" s="45">
        <f t="shared" si="39"/>
        <v>3796.9</v>
      </c>
      <c r="V137" s="65"/>
    </row>
    <row r="138" spans="1:22" ht="38.25" hidden="1">
      <c r="A138" s="52" t="s">
        <v>127</v>
      </c>
      <c r="B138" s="53">
        <v>50</v>
      </c>
      <c r="C138" s="54" t="s">
        <v>113</v>
      </c>
      <c r="D138" s="126" t="s">
        <v>275</v>
      </c>
      <c r="E138" s="56" t="s">
        <v>276</v>
      </c>
      <c r="F138" s="43">
        <v>14.473</v>
      </c>
      <c r="G138" s="57"/>
      <c r="H138" s="57"/>
      <c r="I138" s="58"/>
      <c r="J138" s="59">
        <f t="shared" si="36"/>
        <v>742.8502282779862</v>
      </c>
      <c r="K138" s="60">
        <v>0.9336178972540682</v>
      </c>
      <c r="L138" s="75">
        <v>0.9812821771302476</v>
      </c>
      <c r="M138" s="63">
        <f t="shared" si="37"/>
        <v>9943.6</v>
      </c>
      <c r="N138" s="63">
        <f t="shared" si="38"/>
        <v>9018.8</v>
      </c>
      <c r="O138" s="62"/>
      <c r="P138" s="76"/>
      <c r="Q138" s="77"/>
      <c r="R138" s="76"/>
      <c r="S138" s="77"/>
      <c r="T138" s="64"/>
      <c r="U138" s="45">
        <f t="shared" si="39"/>
        <v>9018.8</v>
      </c>
      <c r="V138" s="65"/>
    </row>
    <row r="139" spans="1:22" ht="25.5" hidden="1">
      <c r="A139" s="38" t="s">
        <v>51</v>
      </c>
      <c r="B139" s="39" t="s">
        <v>26</v>
      </c>
      <c r="C139" s="40" t="s">
        <v>27</v>
      </c>
      <c r="D139" s="41"/>
      <c r="E139" s="127" t="s">
        <v>277</v>
      </c>
      <c r="F139" s="43">
        <f>F140+F141+F170+F188</f>
        <v>1970.0629999999999</v>
      </c>
      <c r="G139" s="44">
        <f>+G140+G141+G170+G188</f>
        <v>0</v>
      </c>
      <c r="H139" s="44">
        <f>+H140+H141+H170+H188</f>
        <v>0</v>
      </c>
      <c r="I139" s="45"/>
      <c r="J139" s="46"/>
      <c r="K139" s="47"/>
      <c r="L139" s="48">
        <v>1.0421854105407216</v>
      </c>
      <c r="M139" s="49">
        <f aca="true" t="shared" si="40" ref="M139:U139">+M140+M141+M170+M188</f>
        <v>2299358.8000000003</v>
      </c>
      <c r="N139" s="49">
        <f t="shared" si="40"/>
        <v>2299358.8</v>
      </c>
      <c r="O139" s="49">
        <f t="shared" si="40"/>
        <v>0</v>
      </c>
      <c r="P139" s="49">
        <f t="shared" si="40"/>
        <v>160.3</v>
      </c>
      <c r="Q139" s="49">
        <f t="shared" si="40"/>
        <v>36305</v>
      </c>
      <c r="R139" s="49">
        <f t="shared" si="40"/>
        <v>38438.1</v>
      </c>
      <c r="S139" s="49">
        <f t="shared" si="40"/>
        <v>1428</v>
      </c>
      <c r="T139" s="49">
        <f t="shared" si="40"/>
        <v>0</v>
      </c>
      <c r="U139" s="49">
        <f t="shared" si="40"/>
        <v>2375690.1999999997</v>
      </c>
      <c r="V139" s="65"/>
    </row>
    <row r="140" spans="1:22" ht="12.75" hidden="1">
      <c r="A140" s="52" t="s">
        <v>51</v>
      </c>
      <c r="B140" s="53" t="s">
        <v>26</v>
      </c>
      <c r="C140" s="54" t="s">
        <v>29</v>
      </c>
      <c r="D140" s="55" t="s">
        <v>278</v>
      </c>
      <c r="E140" s="56" t="s">
        <v>31</v>
      </c>
      <c r="F140" s="43">
        <v>0</v>
      </c>
      <c r="G140" s="128"/>
      <c r="H140" s="128"/>
      <c r="I140" s="58"/>
      <c r="J140" s="59">
        <f>+($F$7-$O$952-$Q$952-$P$952-R$952-$S$952)/$F$952*0.354*0.951</f>
        <v>376.76602120660414</v>
      </c>
      <c r="K140" s="60">
        <v>0</v>
      </c>
      <c r="L140" s="48">
        <v>1.0421854105407216</v>
      </c>
      <c r="M140" s="49">
        <f>ROUND(J140*(F141+F170+F188)*(0.5+0.5*L140),1)</f>
        <v>757908.9</v>
      </c>
      <c r="N140" s="49">
        <f>M140+ROUND(SUM(M142:M169)*0.117+SUM(M171:M187)*0.093+M189*0.117+SUM(M190:M191)*0.093,1)+0.1</f>
        <v>929683.9</v>
      </c>
      <c r="O140" s="61"/>
      <c r="P140" s="62">
        <v>160.3</v>
      </c>
      <c r="Q140" s="63">
        <v>36305</v>
      </c>
      <c r="R140" s="62">
        <v>38438.1</v>
      </c>
      <c r="S140" s="63">
        <v>1428</v>
      </c>
      <c r="T140" s="64"/>
      <c r="U140" s="45">
        <f>N140+O140+P140+Q140+R140+S140+T140</f>
        <v>1006015.3</v>
      </c>
      <c r="V140" s="65"/>
    </row>
    <row r="141" spans="1:22" ht="13.5" hidden="1">
      <c r="A141" s="38" t="s">
        <v>51</v>
      </c>
      <c r="B141" s="39" t="s">
        <v>26</v>
      </c>
      <c r="C141" s="40" t="s">
        <v>33</v>
      </c>
      <c r="D141" s="41"/>
      <c r="E141" s="79" t="s">
        <v>34</v>
      </c>
      <c r="F141" s="43">
        <f>SUM(F142:F169)</f>
        <v>1422.858</v>
      </c>
      <c r="G141" s="67">
        <f>SUM(G142:G169)</f>
        <v>0</v>
      </c>
      <c r="H141" s="68">
        <f>SUM(H142:H169)</f>
        <v>0</v>
      </c>
      <c r="I141" s="69"/>
      <c r="J141" s="59"/>
      <c r="K141" s="70"/>
      <c r="L141" s="71">
        <v>1.0397144664247437</v>
      </c>
      <c r="M141" s="72">
        <f aca="true" t="shared" si="41" ref="M141:U141">SUM(M142:M169)</f>
        <v>1148299.1</v>
      </c>
      <c r="N141" s="72">
        <f t="shared" si="41"/>
        <v>1013948.0999999999</v>
      </c>
      <c r="O141" s="72">
        <f t="shared" si="41"/>
        <v>0</v>
      </c>
      <c r="P141" s="72">
        <f t="shared" si="41"/>
        <v>0</v>
      </c>
      <c r="Q141" s="72">
        <f t="shared" si="41"/>
        <v>0</v>
      </c>
      <c r="R141" s="72">
        <f t="shared" si="41"/>
        <v>0</v>
      </c>
      <c r="S141" s="72">
        <f t="shared" si="41"/>
        <v>0</v>
      </c>
      <c r="T141" s="72">
        <f t="shared" si="41"/>
        <v>0</v>
      </c>
      <c r="U141" s="72">
        <f t="shared" si="41"/>
        <v>1013948.0999999999</v>
      </c>
      <c r="V141" s="73"/>
    </row>
    <row r="142" spans="1:22" ht="12.75" hidden="1">
      <c r="A142" s="52" t="s">
        <v>51</v>
      </c>
      <c r="B142" s="53" t="s">
        <v>35</v>
      </c>
      <c r="C142" s="54" t="s">
        <v>36</v>
      </c>
      <c r="D142" s="55" t="s">
        <v>279</v>
      </c>
      <c r="E142" s="74" t="s">
        <v>280</v>
      </c>
      <c r="F142" s="43">
        <v>0</v>
      </c>
      <c r="G142" s="57"/>
      <c r="H142" s="57"/>
      <c r="I142" s="58"/>
      <c r="J142" s="59">
        <f aca="true" t="shared" si="42" ref="J142:J169">+($F$7-$O$952-$Q$952-$P$952-$R$952-$S$952)/($F$952-$G$952*1-$H$952*0.5)*0.646*1.0268514</f>
        <v>742.8502282779862</v>
      </c>
      <c r="K142" s="60">
        <v>1.065228053001168</v>
      </c>
      <c r="L142" s="75">
        <v>0</v>
      </c>
      <c r="M142" s="63">
        <f aca="true" t="shared" si="43" ref="M142:M169">ROUND(J142*(F142-G142-H142*I142)*K142*(0.5+0.5*L142),1)</f>
        <v>0</v>
      </c>
      <c r="N142" s="63">
        <f aca="true" t="shared" si="44" ref="N142:N169">ROUND(M142*0.883,1)</f>
        <v>0</v>
      </c>
      <c r="O142" s="62"/>
      <c r="P142" s="76"/>
      <c r="Q142" s="77"/>
      <c r="R142" s="76"/>
      <c r="S142" s="77"/>
      <c r="T142" s="64"/>
      <c r="U142" s="45">
        <f aca="true" t="shared" si="45" ref="U142:U169">+N142+O142+T142+R142+S142+Q142</f>
        <v>0</v>
      </c>
      <c r="V142" s="65"/>
    </row>
    <row r="143" spans="1:22" ht="12.75" hidden="1">
      <c r="A143" s="52" t="s">
        <v>51</v>
      </c>
      <c r="B143" s="53" t="s">
        <v>32</v>
      </c>
      <c r="C143" s="54" t="s">
        <v>36</v>
      </c>
      <c r="D143" s="55" t="s">
        <v>281</v>
      </c>
      <c r="E143" s="78" t="s">
        <v>282</v>
      </c>
      <c r="F143" s="43">
        <v>34.238</v>
      </c>
      <c r="G143" s="57"/>
      <c r="H143" s="57"/>
      <c r="I143" s="58"/>
      <c r="J143" s="59">
        <f t="shared" si="42"/>
        <v>742.8502282779862</v>
      </c>
      <c r="K143" s="60">
        <v>1.065228053001168</v>
      </c>
      <c r="L143" s="75">
        <v>1.0331646873307838</v>
      </c>
      <c r="M143" s="63">
        <f t="shared" si="43"/>
        <v>27542</v>
      </c>
      <c r="N143" s="63">
        <f t="shared" si="44"/>
        <v>24319.6</v>
      </c>
      <c r="O143" s="62"/>
      <c r="P143" s="76"/>
      <c r="Q143" s="77"/>
      <c r="R143" s="76"/>
      <c r="S143" s="77"/>
      <c r="T143" s="64"/>
      <c r="U143" s="45">
        <f t="shared" si="45"/>
        <v>24319.6</v>
      </c>
      <c r="V143" s="65"/>
    </row>
    <row r="144" spans="1:22" ht="12.75" hidden="1">
      <c r="A144" s="52" t="s">
        <v>51</v>
      </c>
      <c r="B144" s="53" t="s">
        <v>118</v>
      </c>
      <c r="C144" s="54" t="s">
        <v>36</v>
      </c>
      <c r="D144" s="55" t="s">
        <v>283</v>
      </c>
      <c r="E144" s="78" t="s">
        <v>284</v>
      </c>
      <c r="F144" s="43">
        <v>102.116</v>
      </c>
      <c r="G144" s="57"/>
      <c r="H144" s="57"/>
      <c r="I144" s="58"/>
      <c r="J144" s="59">
        <f t="shared" si="42"/>
        <v>742.8502282779862</v>
      </c>
      <c r="K144" s="60">
        <v>1.065228053001168</v>
      </c>
      <c r="L144" s="75">
        <v>1.0181280384447013</v>
      </c>
      <c r="M144" s="63">
        <f t="shared" si="43"/>
        <v>81537.3</v>
      </c>
      <c r="N144" s="63">
        <f t="shared" si="44"/>
        <v>71997.4</v>
      </c>
      <c r="O144" s="62"/>
      <c r="P144" s="76"/>
      <c r="Q144" s="77"/>
      <c r="R144" s="76"/>
      <c r="S144" s="77"/>
      <c r="T144" s="64"/>
      <c r="U144" s="45">
        <f t="shared" si="45"/>
        <v>71997.4</v>
      </c>
      <c r="V144" s="65"/>
    </row>
    <row r="145" spans="1:22" ht="12.75" hidden="1">
      <c r="A145" s="52" t="s">
        <v>51</v>
      </c>
      <c r="B145" s="53" t="s">
        <v>127</v>
      </c>
      <c r="C145" s="54" t="s">
        <v>36</v>
      </c>
      <c r="D145" s="55" t="s">
        <v>285</v>
      </c>
      <c r="E145" s="78" t="s">
        <v>286</v>
      </c>
      <c r="F145" s="43">
        <v>15.195</v>
      </c>
      <c r="G145" s="57"/>
      <c r="H145" s="57"/>
      <c r="I145" s="58"/>
      <c r="J145" s="59">
        <f t="shared" si="42"/>
        <v>742.8502282779862</v>
      </c>
      <c r="K145" s="60">
        <v>1.065228053001168</v>
      </c>
      <c r="L145" s="75">
        <v>0.9832901065096828</v>
      </c>
      <c r="M145" s="63">
        <f t="shared" si="43"/>
        <v>11923.4</v>
      </c>
      <c r="N145" s="63">
        <f t="shared" si="44"/>
        <v>10528.4</v>
      </c>
      <c r="O145" s="62"/>
      <c r="P145" s="76"/>
      <c r="Q145" s="77"/>
      <c r="R145" s="76"/>
      <c r="S145" s="77"/>
      <c r="T145" s="64"/>
      <c r="U145" s="45">
        <f t="shared" si="45"/>
        <v>10528.4</v>
      </c>
      <c r="V145" s="65"/>
    </row>
    <row r="146" spans="1:22" ht="12.75" hidden="1">
      <c r="A146" s="52" t="s">
        <v>51</v>
      </c>
      <c r="B146" s="53" t="s">
        <v>51</v>
      </c>
      <c r="C146" s="54" t="s">
        <v>36</v>
      </c>
      <c r="D146" s="55" t="s">
        <v>287</v>
      </c>
      <c r="E146" s="78" t="s">
        <v>288</v>
      </c>
      <c r="F146" s="43">
        <v>0</v>
      </c>
      <c r="G146" s="57"/>
      <c r="H146" s="57"/>
      <c r="I146" s="58"/>
      <c r="J146" s="59">
        <f t="shared" si="42"/>
        <v>742.8502282779862</v>
      </c>
      <c r="K146" s="60">
        <v>1.065228053001168</v>
      </c>
      <c r="L146" s="75">
        <v>0</v>
      </c>
      <c r="M146" s="63">
        <f t="shared" si="43"/>
        <v>0</v>
      </c>
      <c r="N146" s="63">
        <f t="shared" si="44"/>
        <v>0</v>
      </c>
      <c r="O146" s="62"/>
      <c r="P146" s="76"/>
      <c r="Q146" s="77"/>
      <c r="R146" s="76"/>
      <c r="S146" s="77"/>
      <c r="T146" s="64"/>
      <c r="U146" s="45">
        <f t="shared" si="45"/>
        <v>0</v>
      </c>
      <c r="V146" s="65"/>
    </row>
    <row r="147" spans="1:22" ht="12.75" hidden="1">
      <c r="A147" s="52" t="s">
        <v>51</v>
      </c>
      <c r="B147" s="53" t="s">
        <v>55</v>
      </c>
      <c r="C147" s="54" t="s">
        <v>36</v>
      </c>
      <c r="D147" s="55" t="s">
        <v>289</v>
      </c>
      <c r="E147" s="78" t="s">
        <v>290</v>
      </c>
      <c r="F147" s="43">
        <v>0</v>
      </c>
      <c r="G147" s="57"/>
      <c r="H147" s="57"/>
      <c r="I147" s="58"/>
      <c r="J147" s="59">
        <f t="shared" si="42"/>
        <v>742.8502282779862</v>
      </c>
      <c r="K147" s="60">
        <v>1.065228053001168</v>
      </c>
      <c r="L147" s="75">
        <v>0</v>
      </c>
      <c r="M147" s="63">
        <f t="shared" si="43"/>
        <v>0</v>
      </c>
      <c r="N147" s="63">
        <f t="shared" si="44"/>
        <v>0</v>
      </c>
      <c r="O147" s="62"/>
      <c r="P147" s="76"/>
      <c r="Q147" s="77"/>
      <c r="R147" s="76"/>
      <c r="S147" s="77"/>
      <c r="T147" s="64"/>
      <c r="U147" s="45">
        <f t="shared" si="45"/>
        <v>0</v>
      </c>
      <c r="V147" s="65"/>
    </row>
    <row r="148" spans="1:22" ht="12.75" hidden="1">
      <c r="A148" s="52" t="s">
        <v>51</v>
      </c>
      <c r="B148" s="53" t="s">
        <v>58</v>
      </c>
      <c r="C148" s="54" t="s">
        <v>36</v>
      </c>
      <c r="D148" s="55" t="s">
        <v>291</v>
      </c>
      <c r="E148" s="78" t="s">
        <v>292</v>
      </c>
      <c r="F148" s="43">
        <v>71.271</v>
      </c>
      <c r="G148" s="57"/>
      <c r="H148" s="57"/>
      <c r="I148" s="58"/>
      <c r="J148" s="59">
        <f t="shared" si="42"/>
        <v>742.8502282779862</v>
      </c>
      <c r="K148" s="60">
        <v>1.065228053001168</v>
      </c>
      <c r="L148" s="75">
        <v>1.0673742780076594</v>
      </c>
      <c r="M148" s="63">
        <f t="shared" si="43"/>
        <v>58296.9</v>
      </c>
      <c r="N148" s="63">
        <f t="shared" si="44"/>
        <v>51476.2</v>
      </c>
      <c r="O148" s="62"/>
      <c r="P148" s="76"/>
      <c r="Q148" s="77"/>
      <c r="R148" s="76"/>
      <c r="S148" s="77"/>
      <c r="T148" s="64"/>
      <c r="U148" s="45">
        <f t="shared" si="45"/>
        <v>51476.2</v>
      </c>
      <c r="V148" s="65"/>
    </row>
    <row r="149" spans="1:22" ht="27.75" customHeight="1" hidden="1">
      <c r="A149" s="52" t="s">
        <v>51</v>
      </c>
      <c r="B149" s="53" t="s">
        <v>61</v>
      </c>
      <c r="C149" s="54" t="s">
        <v>36</v>
      </c>
      <c r="D149" s="55" t="s">
        <v>293</v>
      </c>
      <c r="E149" s="78" t="s">
        <v>294</v>
      </c>
      <c r="F149" s="43">
        <v>50.027</v>
      </c>
      <c r="G149" s="57"/>
      <c r="H149" s="57"/>
      <c r="I149" s="58"/>
      <c r="J149" s="59">
        <f t="shared" si="42"/>
        <v>742.8502282779862</v>
      </c>
      <c r="K149" s="60">
        <v>1.065228053001168</v>
      </c>
      <c r="L149" s="75">
        <v>1.0192770679941894</v>
      </c>
      <c r="M149" s="63">
        <f t="shared" si="43"/>
        <v>39968.2</v>
      </c>
      <c r="N149" s="63">
        <f t="shared" si="44"/>
        <v>35291.9</v>
      </c>
      <c r="O149" s="62"/>
      <c r="P149" s="76"/>
      <c r="Q149" s="77"/>
      <c r="R149" s="76"/>
      <c r="S149" s="77"/>
      <c r="T149" s="64"/>
      <c r="U149" s="45">
        <f t="shared" si="45"/>
        <v>35291.9</v>
      </c>
      <c r="V149" s="65"/>
    </row>
    <row r="150" spans="1:22" ht="12.75" hidden="1">
      <c r="A150" s="52" t="s">
        <v>51</v>
      </c>
      <c r="B150" s="53" t="s">
        <v>64</v>
      </c>
      <c r="C150" s="54" t="s">
        <v>36</v>
      </c>
      <c r="D150" s="55" t="s">
        <v>295</v>
      </c>
      <c r="E150" s="78" t="s">
        <v>296</v>
      </c>
      <c r="F150" s="43">
        <v>62.146</v>
      </c>
      <c r="G150" s="57"/>
      <c r="H150" s="57"/>
      <c r="I150" s="58"/>
      <c r="J150" s="59">
        <f t="shared" si="42"/>
        <v>742.8502282779862</v>
      </c>
      <c r="K150" s="60">
        <v>1.065228053001168</v>
      </c>
      <c r="L150" s="75">
        <v>1.0244055707143827</v>
      </c>
      <c r="M150" s="63">
        <f t="shared" si="43"/>
        <v>49776.5</v>
      </c>
      <c r="N150" s="63">
        <f t="shared" si="44"/>
        <v>43952.6</v>
      </c>
      <c r="O150" s="62"/>
      <c r="P150" s="76"/>
      <c r="Q150" s="77"/>
      <c r="R150" s="76"/>
      <c r="S150" s="77"/>
      <c r="T150" s="64"/>
      <c r="U150" s="45">
        <f t="shared" si="45"/>
        <v>43952.6</v>
      </c>
      <c r="V150" s="65"/>
    </row>
    <row r="151" spans="1:22" ht="12.75" hidden="1">
      <c r="A151" s="52" t="s">
        <v>51</v>
      </c>
      <c r="B151" s="53">
        <v>10</v>
      </c>
      <c r="C151" s="54" t="s">
        <v>36</v>
      </c>
      <c r="D151" s="55" t="s">
        <v>297</v>
      </c>
      <c r="E151" s="78" t="s">
        <v>298</v>
      </c>
      <c r="F151" s="43">
        <v>0</v>
      </c>
      <c r="G151" s="57"/>
      <c r="H151" s="57"/>
      <c r="I151" s="58"/>
      <c r="J151" s="59">
        <f t="shared" si="42"/>
        <v>742.8502282779862</v>
      </c>
      <c r="K151" s="60">
        <v>1.065228053001168</v>
      </c>
      <c r="L151" s="75">
        <v>0</v>
      </c>
      <c r="M151" s="63">
        <f t="shared" si="43"/>
        <v>0</v>
      </c>
      <c r="N151" s="63">
        <f t="shared" si="44"/>
        <v>0</v>
      </c>
      <c r="O151" s="62"/>
      <c r="P151" s="76"/>
      <c r="Q151" s="77"/>
      <c r="R151" s="76"/>
      <c r="S151" s="77"/>
      <c r="T151" s="64"/>
      <c r="U151" s="45">
        <f t="shared" si="45"/>
        <v>0</v>
      </c>
      <c r="V151" s="65"/>
    </row>
    <row r="152" spans="1:22" s="82" customFormat="1" ht="13.5" hidden="1">
      <c r="A152" s="52" t="s">
        <v>51</v>
      </c>
      <c r="B152" s="53">
        <v>11</v>
      </c>
      <c r="C152" s="54" t="s">
        <v>36</v>
      </c>
      <c r="D152" s="55" t="s">
        <v>299</v>
      </c>
      <c r="E152" s="78" t="s">
        <v>300</v>
      </c>
      <c r="F152" s="43">
        <v>68.63</v>
      </c>
      <c r="G152" s="57"/>
      <c r="H152" s="57"/>
      <c r="I152" s="58"/>
      <c r="J152" s="59">
        <f t="shared" si="42"/>
        <v>742.8502282779862</v>
      </c>
      <c r="K152" s="60">
        <v>1.065228053001168</v>
      </c>
      <c r="L152" s="75">
        <v>1.0235939555437832</v>
      </c>
      <c r="M152" s="63">
        <f t="shared" si="43"/>
        <v>54947.9</v>
      </c>
      <c r="N152" s="63">
        <f t="shared" si="44"/>
        <v>48519</v>
      </c>
      <c r="O152" s="62"/>
      <c r="P152" s="76"/>
      <c r="Q152" s="77"/>
      <c r="R152" s="76"/>
      <c r="S152" s="77"/>
      <c r="T152" s="64"/>
      <c r="U152" s="45">
        <f t="shared" si="45"/>
        <v>48519</v>
      </c>
      <c r="V152" s="65"/>
    </row>
    <row r="153" spans="1:22" s="129" customFormat="1" ht="12.75" hidden="1">
      <c r="A153" s="52" t="s">
        <v>51</v>
      </c>
      <c r="B153" s="53">
        <v>12</v>
      </c>
      <c r="C153" s="54" t="s">
        <v>36</v>
      </c>
      <c r="D153" s="55" t="s">
        <v>301</v>
      </c>
      <c r="E153" s="78" t="s">
        <v>302</v>
      </c>
      <c r="F153" s="43">
        <v>0</v>
      </c>
      <c r="G153" s="57"/>
      <c r="H153" s="57"/>
      <c r="I153" s="58"/>
      <c r="J153" s="59">
        <f t="shared" si="42"/>
        <v>742.8502282779862</v>
      </c>
      <c r="K153" s="60">
        <v>1.065228053001168</v>
      </c>
      <c r="L153" s="75">
        <v>0</v>
      </c>
      <c r="M153" s="63">
        <f t="shared" si="43"/>
        <v>0</v>
      </c>
      <c r="N153" s="63">
        <f t="shared" si="44"/>
        <v>0</v>
      </c>
      <c r="O153" s="62"/>
      <c r="P153" s="76"/>
      <c r="Q153" s="77"/>
      <c r="R153" s="76"/>
      <c r="S153" s="77"/>
      <c r="T153" s="64"/>
      <c r="U153" s="45">
        <f t="shared" si="45"/>
        <v>0</v>
      </c>
      <c r="V153" s="65"/>
    </row>
    <row r="154" spans="1:22" ht="12.75" hidden="1">
      <c r="A154" s="52" t="s">
        <v>51</v>
      </c>
      <c r="B154" s="53">
        <v>13</v>
      </c>
      <c r="C154" s="54" t="s">
        <v>36</v>
      </c>
      <c r="D154" s="55" t="s">
        <v>303</v>
      </c>
      <c r="E154" s="78" t="s">
        <v>304</v>
      </c>
      <c r="F154" s="43">
        <v>0</v>
      </c>
      <c r="G154" s="57"/>
      <c r="H154" s="57"/>
      <c r="I154" s="58"/>
      <c r="J154" s="59">
        <f t="shared" si="42"/>
        <v>742.8502282779862</v>
      </c>
      <c r="K154" s="60">
        <v>1.065228053001168</v>
      </c>
      <c r="L154" s="75">
        <v>0</v>
      </c>
      <c r="M154" s="63">
        <f t="shared" si="43"/>
        <v>0</v>
      </c>
      <c r="N154" s="63">
        <f t="shared" si="44"/>
        <v>0</v>
      </c>
      <c r="O154" s="62"/>
      <c r="P154" s="76"/>
      <c r="Q154" s="77"/>
      <c r="R154" s="76"/>
      <c r="S154" s="77"/>
      <c r="T154" s="64"/>
      <c r="U154" s="45">
        <f t="shared" si="45"/>
        <v>0</v>
      </c>
      <c r="V154" s="65"/>
    </row>
    <row r="155" spans="1:22" ht="12.75" hidden="1">
      <c r="A155" s="52" t="s">
        <v>51</v>
      </c>
      <c r="B155" s="53">
        <v>14</v>
      </c>
      <c r="C155" s="54" t="s">
        <v>36</v>
      </c>
      <c r="D155" s="55" t="s">
        <v>305</v>
      </c>
      <c r="E155" s="78" t="s">
        <v>306</v>
      </c>
      <c r="F155" s="43">
        <v>0</v>
      </c>
      <c r="G155" s="57"/>
      <c r="H155" s="57"/>
      <c r="I155" s="58"/>
      <c r="J155" s="59">
        <f t="shared" si="42"/>
        <v>742.8502282779862</v>
      </c>
      <c r="K155" s="60">
        <v>1.065228053001168</v>
      </c>
      <c r="L155" s="75">
        <v>0</v>
      </c>
      <c r="M155" s="63">
        <f t="shared" si="43"/>
        <v>0</v>
      </c>
      <c r="N155" s="63">
        <f t="shared" si="44"/>
        <v>0</v>
      </c>
      <c r="O155" s="62"/>
      <c r="P155" s="76"/>
      <c r="Q155" s="77"/>
      <c r="R155" s="76"/>
      <c r="S155" s="77"/>
      <c r="T155" s="64"/>
      <c r="U155" s="45">
        <f t="shared" si="45"/>
        <v>0</v>
      </c>
      <c r="V155" s="65"/>
    </row>
    <row r="156" spans="1:22" ht="12.75" hidden="1">
      <c r="A156" s="52" t="s">
        <v>51</v>
      </c>
      <c r="B156" s="53">
        <v>15</v>
      </c>
      <c r="C156" s="54" t="s">
        <v>36</v>
      </c>
      <c r="D156" s="55" t="s">
        <v>307</v>
      </c>
      <c r="E156" s="78" t="s">
        <v>308</v>
      </c>
      <c r="F156" s="43">
        <v>73.839</v>
      </c>
      <c r="G156" s="57"/>
      <c r="H156" s="57"/>
      <c r="I156" s="58"/>
      <c r="J156" s="59">
        <f t="shared" si="42"/>
        <v>742.8502282779862</v>
      </c>
      <c r="K156" s="60">
        <v>1.065228053001168</v>
      </c>
      <c r="L156" s="75">
        <v>1.0696057763338496</v>
      </c>
      <c r="M156" s="63">
        <f t="shared" si="43"/>
        <v>60462.7</v>
      </c>
      <c r="N156" s="63">
        <f t="shared" si="44"/>
        <v>53388.6</v>
      </c>
      <c r="O156" s="62"/>
      <c r="P156" s="76"/>
      <c r="Q156" s="77"/>
      <c r="R156" s="76"/>
      <c r="S156" s="77"/>
      <c r="T156" s="64"/>
      <c r="U156" s="45">
        <f t="shared" si="45"/>
        <v>53388.6</v>
      </c>
      <c r="V156" s="65"/>
    </row>
    <row r="157" spans="1:22" ht="12.75" hidden="1">
      <c r="A157" s="52" t="s">
        <v>51</v>
      </c>
      <c r="B157" s="53">
        <v>16</v>
      </c>
      <c r="C157" s="54" t="s">
        <v>36</v>
      </c>
      <c r="D157" s="55" t="s">
        <v>309</v>
      </c>
      <c r="E157" s="78" t="s">
        <v>310</v>
      </c>
      <c r="F157" s="43">
        <v>192.642</v>
      </c>
      <c r="G157" s="57"/>
      <c r="H157" s="57"/>
      <c r="I157" s="58"/>
      <c r="J157" s="59">
        <f t="shared" si="42"/>
        <v>742.8502282779862</v>
      </c>
      <c r="K157" s="60">
        <v>1.065228053001168</v>
      </c>
      <c r="L157" s="75">
        <v>1.0239816581897419</v>
      </c>
      <c r="M157" s="63">
        <f t="shared" si="43"/>
        <v>154266.4</v>
      </c>
      <c r="N157" s="63">
        <f t="shared" si="44"/>
        <v>136217.2</v>
      </c>
      <c r="O157" s="62"/>
      <c r="P157" s="76"/>
      <c r="Q157" s="77"/>
      <c r="R157" s="76"/>
      <c r="S157" s="77"/>
      <c r="T157" s="64"/>
      <c r="U157" s="45">
        <f t="shared" si="45"/>
        <v>136217.2</v>
      </c>
      <c r="V157" s="65"/>
    </row>
    <row r="158" spans="1:22" ht="12.75" hidden="1">
      <c r="A158" s="52" t="s">
        <v>51</v>
      </c>
      <c r="B158" s="53">
        <v>17</v>
      </c>
      <c r="C158" s="54" t="s">
        <v>36</v>
      </c>
      <c r="D158" s="55" t="s">
        <v>311</v>
      </c>
      <c r="E158" s="78" t="s">
        <v>312</v>
      </c>
      <c r="F158" s="43">
        <v>0</v>
      </c>
      <c r="G158" s="57"/>
      <c r="H158" s="57"/>
      <c r="I158" s="58"/>
      <c r="J158" s="59">
        <f t="shared" si="42"/>
        <v>742.8502282779862</v>
      </c>
      <c r="K158" s="60">
        <v>1.065228053001168</v>
      </c>
      <c r="L158" s="75">
        <v>0</v>
      </c>
      <c r="M158" s="63">
        <f t="shared" si="43"/>
        <v>0</v>
      </c>
      <c r="N158" s="63">
        <f t="shared" si="44"/>
        <v>0</v>
      </c>
      <c r="O158" s="62"/>
      <c r="P158" s="76"/>
      <c r="Q158" s="77"/>
      <c r="R158" s="76"/>
      <c r="S158" s="77"/>
      <c r="T158" s="64"/>
      <c r="U158" s="45">
        <f t="shared" si="45"/>
        <v>0</v>
      </c>
      <c r="V158" s="65"/>
    </row>
    <row r="159" spans="1:22" ht="25.5" hidden="1">
      <c r="A159" s="52" t="s">
        <v>51</v>
      </c>
      <c r="B159" s="53">
        <v>18</v>
      </c>
      <c r="C159" s="54" t="s">
        <v>36</v>
      </c>
      <c r="D159" s="55" t="s">
        <v>313</v>
      </c>
      <c r="E159" s="78" t="s">
        <v>314</v>
      </c>
      <c r="F159" s="43">
        <v>75.738</v>
      </c>
      <c r="G159" s="57"/>
      <c r="H159" s="57"/>
      <c r="I159" s="58"/>
      <c r="J159" s="59">
        <f t="shared" si="42"/>
        <v>742.8502282779862</v>
      </c>
      <c r="K159" s="60">
        <v>1.065228053001168</v>
      </c>
      <c r="L159" s="75">
        <v>1.0114062565267719</v>
      </c>
      <c r="M159" s="63">
        <f t="shared" si="43"/>
        <v>60273.6</v>
      </c>
      <c r="N159" s="63">
        <f t="shared" si="44"/>
        <v>53221.6</v>
      </c>
      <c r="O159" s="62"/>
      <c r="P159" s="76"/>
      <c r="Q159" s="77"/>
      <c r="R159" s="76"/>
      <c r="S159" s="77"/>
      <c r="T159" s="64"/>
      <c r="U159" s="45">
        <f t="shared" si="45"/>
        <v>53221.6</v>
      </c>
      <c r="V159" s="65"/>
    </row>
    <row r="160" spans="1:22" ht="12.75" hidden="1">
      <c r="A160" s="52" t="s">
        <v>51</v>
      </c>
      <c r="B160" s="53">
        <v>19</v>
      </c>
      <c r="C160" s="54" t="s">
        <v>36</v>
      </c>
      <c r="D160" s="55" t="s">
        <v>315</v>
      </c>
      <c r="E160" s="78" t="s">
        <v>316</v>
      </c>
      <c r="F160" s="43">
        <v>0</v>
      </c>
      <c r="G160" s="57"/>
      <c r="H160" s="57"/>
      <c r="I160" s="58"/>
      <c r="J160" s="59">
        <f t="shared" si="42"/>
        <v>742.8502282779862</v>
      </c>
      <c r="K160" s="60">
        <v>1.065228053001168</v>
      </c>
      <c r="L160" s="75">
        <v>0</v>
      </c>
      <c r="M160" s="63">
        <f t="shared" si="43"/>
        <v>0</v>
      </c>
      <c r="N160" s="63">
        <f t="shared" si="44"/>
        <v>0</v>
      </c>
      <c r="O160" s="62"/>
      <c r="P160" s="76"/>
      <c r="Q160" s="77"/>
      <c r="R160" s="76"/>
      <c r="S160" s="77"/>
      <c r="T160" s="64"/>
      <c r="U160" s="45">
        <f t="shared" si="45"/>
        <v>0</v>
      </c>
      <c r="V160" s="65"/>
    </row>
    <row r="161" spans="1:22" ht="12.75" hidden="1">
      <c r="A161" s="52" t="s">
        <v>51</v>
      </c>
      <c r="B161" s="53">
        <v>20</v>
      </c>
      <c r="C161" s="54" t="s">
        <v>36</v>
      </c>
      <c r="D161" s="55" t="s">
        <v>317</v>
      </c>
      <c r="E161" s="78" t="s">
        <v>318</v>
      </c>
      <c r="F161" s="43">
        <v>475.233</v>
      </c>
      <c r="G161" s="57"/>
      <c r="H161" s="57"/>
      <c r="I161" s="58"/>
      <c r="J161" s="59">
        <f t="shared" si="42"/>
        <v>742.8502282779862</v>
      </c>
      <c r="K161" s="60">
        <v>1.065228053001168</v>
      </c>
      <c r="L161" s="75">
        <v>1.060317192751945</v>
      </c>
      <c r="M161" s="63">
        <f t="shared" si="43"/>
        <v>387395.5</v>
      </c>
      <c r="N161" s="63">
        <f t="shared" si="44"/>
        <v>342070.2</v>
      </c>
      <c r="O161" s="62"/>
      <c r="P161" s="76"/>
      <c r="Q161" s="77"/>
      <c r="R161" s="76"/>
      <c r="S161" s="77"/>
      <c r="T161" s="64"/>
      <c r="U161" s="45">
        <f t="shared" si="45"/>
        <v>342070.2</v>
      </c>
      <c r="V161" s="65"/>
    </row>
    <row r="162" spans="1:22" ht="12.75" hidden="1">
      <c r="A162" s="52" t="s">
        <v>51</v>
      </c>
      <c r="B162" s="53">
        <v>21</v>
      </c>
      <c r="C162" s="54" t="s">
        <v>36</v>
      </c>
      <c r="D162" s="55" t="s">
        <v>319</v>
      </c>
      <c r="E162" s="78" t="s">
        <v>320</v>
      </c>
      <c r="F162" s="43">
        <v>15.027</v>
      </c>
      <c r="G162" s="57"/>
      <c r="H162" s="57"/>
      <c r="I162" s="58"/>
      <c r="J162" s="59">
        <f t="shared" si="42"/>
        <v>742.8502282779862</v>
      </c>
      <c r="K162" s="60">
        <v>1.065228053001168</v>
      </c>
      <c r="L162" s="75">
        <v>1.0236134155429257</v>
      </c>
      <c r="M162" s="63">
        <f t="shared" si="43"/>
        <v>12031.3</v>
      </c>
      <c r="N162" s="63">
        <f t="shared" si="44"/>
        <v>10623.6</v>
      </c>
      <c r="O162" s="62"/>
      <c r="P162" s="76"/>
      <c r="Q162" s="77"/>
      <c r="R162" s="76"/>
      <c r="S162" s="77"/>
      <c r="T162" s="64"/>
      <c r="U162" s="45">
        <f t="shared" si="45"/>
        <v>10623.6</v>
      </c>
      <c r="V162" s="65"/>
    </row>
    <row r="163" spans="1:22" ht="12.75" hidden="1">
      <c r="A163" s="52" t="s">
        <v>51</v>
      </c>
      <c r="B163" s="53">
        <v>22</v>
      </c>
      <c r="C163" s="54" t="s">
        <v>36</v>
      </c>
      <c r="D163" s="55" t="s">
        <v>321</v>
      </c>
      <c r="E163" s="78" t="s">
        <v>322</v>
      </c>
      <c r="F163" s="43">
        <v>52.543</v>
      </c>
      <c r="G163" s="57"/>
      <c r="H163" s="57"/>
      <c r="I163" s="58"/>
      <c r="J163" s="59">
        <f t="shared" si="42"/>
        <v>742.8502282779862</v>
      </c>
      <c r="K163" s="60">
        <v>1.065228053001168</v>
      </c>
      <c r="L163" s="75">
        <v>1.0444306453638537</v>
      </c>
      <c r="M163" s="63">
        <f t="shared" si="43"/>
        <v>42501.2</v>
      </c>
      <c r="N163" s="63">
        <f t="shared" si="44"/>
        <v>37528.6</v>
      </c>
      <c r="O163" s="62"/>
      <c r="P163" s="76"/>
      <c r="Q163" s="77"/>
      <c r="R163" s="76"/>
      <c r="S163" s="77"/>
      <c r="T163" s="64"/>
      <c r="U163" s="45">
        <f t="shared" si="45"/>
        <v>37528.6</v>
      </c>
      <c r="V163" s="65"/>
    </row>
    <row r="164" spans="1:22" ht="12.75" hidden="1">
      <c r="A164" s="52" t="s">
        <v>51</v>
      </c>
      <c r="B164" s="53">
        <v>23</v>
      </c>
      <c r="C164" s="54" t="s">
        <v>36</v>
      </c>
      <c r="D164" s="55" t="s">
        <v>323</v>
      </c>
      <c r="E164" s="78" t="s">
        <v>324</v>
      </c>
      <c r="F164" s="43">
        <v>134.213</v>
      </c>
      <c r="G164" s="57"/>
      <c r="H164" s="57"/>
      <c r="I164" s="58"/>
      <c r="J164" s="59">
        <f t="shared" si="42"/>
        <v>742.8502282779862</v>
      </c>
      <c r="K164" s="60">
        <v>1.065228053001168</v>
      </c>
      <c r="L164" s="75">
        <v>1.0220849792569322</v>
      </c>
      <c r="M164" s="63">
        <f t="shared" si="43"/>
        <v>107376.2</v>
      </c>
      <c r="N164" s="63">
        <f t="shared" si="44"/>
        <v>94813.2</v>
      </c>
      <c r="O164" s="62"/>
      <c r="P164" s="76"/>
      <c r="Q164" s="77"/>
      <c r="R164" s="76"/>
      <c r="S164" s="77"/>
      <c r="T164" s="64"/>
      <c r="U164" s="45">
        <f t="shared" si="45"/>
        <v>94813.2</v>
      </c>
      <c r="V164" s="65"/>
    </row>
    <row r="165" spans="1:22" ht="12.75" hidden="1">
      <c r="A165" s="52" t="s">
        <v>51</v>
      </c>
      <c r="B165" s="53">
        <v>24</v>
      </c>
      <c r="C165" s="54" t="s">
        <v>36</v>
      </c>
      <c r="D165" s="55" t="s">
        <v>325</v>
      </c>
      <c r="E165" s="78" t="s">
        <v>326</v>
      </c>
      <c r="F165" s="43">
        <v>0</v>
      </c>
      <c r="G165" s="57"/>
      <c r="H165" s="57"/>
      <c r="I165" s="58"/>
      <c r="J165" s="59">
        <f t="shared" si="42"/>
        <v>742.8502282779862</v>
      </c>
      <c r="K165" s="60">
        <v>1.065228053001168</v>
      </c>
      <c r="L165" s="75">
        <v>0</v>
      </c>
      <c r="M165" s="63">
        <f t="shared" si="43"/>
        <v>0</v>
      </c>
      <c r="N165" s="63">
        <f t="shared" si="44"/>
        <v>0</v>
      </c>
      <c r="O165" s="62"/>
      <c r="P165" s="76"/>
      <c r="Q165" s="77"/>
      <c r="R165" s="76"/>
      <c r="S165" s="77"/>
      <c r="T165" s="64"/>
      <c r="U165" s="45">
        <f t="shared" si="45"/>
        <v>0</v>
      </c>
      <c r="V165" s="65"/>
    </row>
    <row r="166" spans="1:22" ht="12.75" hidden="1">
      <c r="A166" s="52" t="s">
        <v>51</v>
      </c>
      <c r="B166" s="53">
        <v>25</v>
      </c>
      <c r="C166" s="54" t="s">
        <v>36</v>
      </c>
      <c r="D166" s="55" t="s">
        <v>327</v>
      </c>
      <c r="E166" s="78" t="s">
        <v>328</v>
      </c>
      <c r="F166" s="43">
        <v>0</v>
      </c>
      <c r="G166" s="57"/>
      <c r="H166" s="57"/>
      <c r="I166" s="58"/>
      <c r="J166" s="59">
        <f t="shared" si="42"/>
        <v>742.8502282779862</v>
      </c>
      <c r="K166" s="60">
        <v>1.065228053001168</v>
      </c>
      <c r="L166" s="75">
        <v>0</v>
      </c>
      <c r="M166" s="63">
        <f t="shared" si="43"/>
        <v>0</v>
      </c>
      <c r="N166" s="63">
        <f t="shared" si="44"/>
        <v>0</v>
      </c>
      <c r="O166" s="62"/>
      <c r="P166" s="76"/>
      <c r="Q166" s="77"/>
      <c r="R166" s="76"/>
      <c r="S166" s="77"/>
      <c r="T166" s="64"/>
      <c r="U166" s="45">
        <f t="shared" si="45"/>
        <v>0</v>
      </c>
      <c r="V166" s="65"/>
    </row>
    <row r="167" spans="1:22" ht="12.75" hidden="1">
      <c r="A167" s="52" t="s">
        <v>51</v>
      </c>
      <c r="B167" s="53">
        <v>26</v>
      </c>
      <c r="C167" s="54" t="s">
        <v>36</v>
      </c>
      <c r="D167" s="55" t="s">
        <v>329</v>
      </c>
      <c r="E167" s="78" t="s">
        <v>330</v>
      </c>
      <c r="F167" s="43">
        <v>0</v>
      </c>
      <c r="G167" s="57"/>
      <c r="H167" s="57"/>
      <c r="I167" s="58"/>
      <c r="J167" s="59">
        <f t="shared" si="42"/>
        <v>742.8502282779862</v>
      </c>
      <c r="K167" s="60">
        <v>1.065228053001168</v>
      </c>
      <c r="L167" s="75">
        <v>0</v>
      </c>
      <c r="M167" s="63">
        <f t="shared" si="43"/>
        <v>0</v>
      </c>
      <c r="N167" s="63">
        <f t="shared" si="44"/>
        <v>0</v>
      </c>
      <c r="O167" s="62"/>
      <c r="P167" s="76"/>
      <c r="Q167" s="77"/>
      <c r="R167" s="76"/>
      <c r="S167" s="77"/>
      <c r="T167" s="64"/>
      <c r="U167" s="45">
        <f t="shared" si="45"/>
        <v>0</v>
      </c>
      <c r="V167" s="65"/>
    </row>
    <row r="168" spans="1:22" ht="12.75" hidden="1">
      <c r="A168" s="52" t="s">
        <v>51</v>
      </c>
      <c r="B168" s="53">
        <v>27</v>
      </c>
      <c r="C168" s="54" t="s">
        <v>36</v>
      </c>
      <c r="D168" s="55" t="s">
        <v>331</v>
      </c>
      <c r="E168" s="78" t="s">
        <v>332</v>
      </c>
      <c r="F168" s="43">
        <v>0</v>
      </c>
      <c r="G168" s="57"/>
      <c r="H168" s="57"/>
      <c r="I168" s="58"/>
      <c r="J168" s="59">
        <f t="shared" si="42"/>
        <v>742.8502282779862</v>
      </c>
      <c r="K168" s="60">
        <v>1.065228053001168</v>
      </c>
      <c r="L168" s="75">
        <v>0</v>
      </c>
      <c r="M168" s="63">
        <f t="shared" si="43"/>
        <v>0</v>
      </c>
      <c r="N168" s="63">
        <f t="shared" si="44"/>
        <v>0</v>
      </c>
      <c r="O168" s="62"/>
      <c r="P168" s="76"/>
      <c r="Q168" s="77"/>
      <c r="R168" s="76"/>
      <c r="S168" s="77"/>
      <c r="T168" s="64"/>
      <c r="U168" s="45">
        <f t="shared" si="45"/>
        <v>0</v>
      </c>
      <c r="V168" s="65"/>
    </row>
    <row r="169" spans="1:22" ht="12.75" hidden="1">
      <c r="A169" s="52" t="s">
        <v>51</v>
      </c>
      <c r="B169" s="53">
        <v>28</v>
      </c>
      <c r="C169" s="54" t="s">
        <v>36</v>
      </c>
      <c r="D169" s="55" t="s">
        <v>333</v>
      </c>
      <c r="E169" s="78" t="s">
        <v>334</v>
      </c>
      <c r="F169" s="43">
        <v>0</v>
      </c>
      <c r="G169" s="57"/>
      <c r="H169" s="57"/>
      <c r="I169" s="58"/>
      <c r="J169" s="59">
        <f t="shared" si="42"/>
        <v>742.8502282779862</v>
      </c>
      <c r="K169" s="60">
        <v>1.065228053001168</v>
      </c>
      <c r="L169" s="75">
        <v>0</v>
      </c>
      <c r="M169" s="63">
        <f t="shared" si="43"/>
        <v>0</v>
      </c>
      <c r="N169" s="63">
        <f t="shared" si="44"/>
        <v>0</v>
      </c>
      <c r="O169" s="62"/>
      <c r="P169" s="76"/>
      <c r="Q169" s="77"/>
      <c r="R169" s="76"/>
      <c r="S169" s="77"/>
      <c r="T169" s="64"/>
      <c r="U169" s="45">
        <f t="shared" si="45"/>
        <v>0</v>
      </c>
      <c r="V169" s="65"/>
    </row>
    <row r="170" spans="1:22" s="82" customFormat="1" ht="33.75" customHeight="1" hidden="1">
      <c r="A170" s="38" t="s">
        <v>51</v>
      </c>
      <c r="B170" s="39" t="s">
        <v>26</v>
      </c>
      <c r="C170" s="40" t="s">
        <v>49</v>
      </c>
      <c r="D170" s="41"/>
      <c r="E170" s="79" t="s">
        <v>50</v>
      </c>
      <c r="F170" s="43">
        <f>SUM(F171:F187)</f>
        <v>490.624</v>
      </c>
      <c r="G170" s="67">
        <f>SUM(G171:G187)</f>
        <v>0</v>
      </c>
      <c r="H170" s="68">
        <f>SUM(H171:H187)</f>
        <v>0</v>
      </c>
      <c r="I170" s="69"/>
      <c r="J170" s="80"/>
      <c r="K170" s="70"/>
      <c r="L170" s="71">
        <v>1.0481677747949265</v>
      </c>
      <c r="M170" s="72">
        <f aca="true" t="shared" si="46" ref="M170:U170">SUM(M171:M187)</f>
        <v>348495.2</v>
      </c>
      <c r="N170" s="72">
        <f t="shared" si="46"/>
        <v>316085</v>
      </c>
      <c r="O170" s="72">
        <f t="shared" si="46"/>
        <v>0</v>
      </c>
      <c r="P170" s="72">
        <f t="shared" si="46"/>
        <v>0</v>
      </c>
      <c r="Q170" s="72">
        <f t="shared" si="46"/>
        <v>0</v>
      </c>
      <c r="R170" s="72">
        <f t="shared" si="46"/>
        <v>0</v>
      </c>
      <c r="S170" s="72">
        <f t="shared" si="46"/>
        <v>0</v>
      </c>
      <c r="T170" s="72">
        <f t="shared" si="46"/>
        <v>0</v>
      </c>
      <c r="U170" s="72">
        <f t="shared" si="46"/>
        <v>316085</v>
      </c>
      <c r="V170" s="73"/>
    </row>
    <row r="171" spans="1:22" s="82" customFormat="1" ht="13.5" hidden="1">
      <c r="A171" s="52" t="s">
        <v>51</v>
      </c>
      <c r="B171" s="53">
        <v>29</v>
      </c>
      <c r="C171" s="54" t="s">
        <v>52</v>
      </c>
      <c r="D171" s="55" t="s">
        <v>335</v>
      </c>
      <c r="E171" s="56" t="s">
        <v>336</v>
      </c>
      <c r="F171" s="43">
        <v>0</v>
      </c>
      <c r="G171" s="128"/>
      <c r="H171" s="128"/>
      <c r="I171" s="58"/>
      <c r="J171" s="59">
        <f aca="true" t="shared" si="47" ref="J171:J187">+($F$7-$O$952-$Q$952-$P$952-$R$952-$S$952)/($F$952-$G$952*1-$H$952*0.5)*0.646*1.0268514</f>
        <v>742.8502282779862</v>
      </c>
      <c r="K171" s="60">
        <v>0.9336178972540682</v>
      </c>
      <c r="L171" s="75">
        <v>0</v>
      </c>
      <c r="M171" s="63">
        <f aca="true" t="shared" si="48" ref="M171:M187">ROUND(J171*(F171-G171-H171*I171)*K171*(0.5+0.5*L171),1)</f>
        <v>0</v>
      </c>
      <c r="N171" s="63">
        <f aca="true" t="shared" si="49" ref="N171:N187">ROUND(M171*0.907,1)</f>
        <v>0</v>
      </c>
      <c r="O171" s="62"/>
      <c r="P171" s="76"/>
      <c r="Q171" s="77"/>
      <c r="R171" s="76"/>
      <c r="S171" s="77"/>
      <c r="T171" s="64"/>
      <c r="U171" s="45">
        <f aca="true" t="shared" si="50" ref="U171:U187">+N171+O171+T171+R171+S171+Q171</f>
        <v>0</v>
      </c>
      <c r="V171" s="65"/>
    </row>
    <row r="172" spans="1:22" s="129" customFormat="1" ht="25.5" hidden="1">
      <c r="A172" s="52" t="s">
        <v>51</v>
      </c>
      <c r="B172" s="53">
        <v>30</v>
      </c>
      <c r="C172" s="54" t="s">
        <v>52</v>
      </c>
      <c r="D172" s="55" t="s">
        <v>337</v>
      </c>
      <c r="E172" s="56" t="s">
        <v>338</v>
      </c>
      <c r="F172" s="43">
        <v>80.782</v>
      </c>
      <c r="G172" s="57"/>
      <c r="H172" s="57"/>
      <c r="I172" s="58"/>
      <c r="J172" s="59">
        <f t="shared" si="47"/>
        <v>742.8502282779862</v>
      </c>
      <c r="K172" s="60">
        <v>0.9336178972540682</v>
      </c>
      <c r="L172" s="75">
        <v>1.0479657519741843</v>
      </c>
      <c r="M172" s="63">
        <f t="shared" si="48"/>
        <v>57369.1</v>
      </c>
      <c r="N172" s="63">
        <f t="shared" si="49"/>
        <v>52033.8</v>
      </c>
      <c r="O172" s="62"/>
      <c r="P172" s="76"/>
      <c r="Q172" s="77"/>
      <c r="R172" s="76"/>
      <c r="S172" s="77"/>
      <c r="T172" s="64"/>
      <c r="U172" s="45">
        <f t="shared" si="50"/>
        <v>52033.8</v>
      </c>
      <c r="V172" s="65"/>
    </row>
    <row r="173" spans="1:22" s="91" customFormat="1" ht="12.75" hidden="1">
      <c r="A173" s="52" t="s">
        <v>51</v>
      </c>
      <c r="B173" s="53">
        <v>31</v>
      </c>
      <c r="C173" s="54" t="s">
        <v>52</v>
      </c>
      <c r="D173" s="55" t="s">
        <v>339</v>
      </c>
      <c r="E173" s="56" t="s">
        <v>340</v>
      </c>
      <c r="F173" s="43">
        <v>39.569</v>
      </c>
      <c r="G173" s="57"/>
      <c r="H173" s="57"/>
      <c r="I173" s="58"/>
      <c r="J173" s="59">
        <f t="shared" si="47"/>
        <v>742.8502282779862</v>
      </c>
      <c r="K173" s="60">
        <v>0.9336178972540682</v>
      </c>
      <c r="L173" s="75">
        <v>1.0530569203149036</v>
      </c>
      <c r="M173" s="63">
        <f t="shared" si="48"/>
        <v>28170.6</v>
      </c>
      <c r="N173" s="63">
        <f t="shared" si="49"/>
        <v>25550.7</v>
      </c>
      <c r="O173" s="62"/>
      <c r="P173" s="76"/>
      <c r="Q173" s="77"/>
      <c r="R173" s="76"/>
      <c r="S173" s="77"/>
      <c r="T173" s="64"/>
      <c r="U173" s="45">
        <f t="shared" si="50"/>
        <v>25550.7</v>
      </c>
      <c r="V173" s="65"/>
    </row>
    <row r="174" spans="1:22" ht="12.75" hidden="1">
      <c r="A174" s="52" t="s">
        <v>51</v>
      </c>
      <c r="B174" s="53">
        <v>32</v>
      </c>
      <c r="C174" s="54" t="s">
        <v>52</v>
      </c>
      <c r="D174" s="55" t="s">
        <v>341</v>
      </c>
      <c r="E174" s="56" t="s">
        <v>342</v>
      </c>
      <c r="F174" s="43">
        <v>100.665</v>
      </c>
      <c r="G174" s="57"/>
      <c r="H174" s="57"/>
      <c r="I174" s="58"/>
      <c r="J174" s="59">
        <f t="shared" si="47"/>
        <v>742.8502282779862</v>
      </c>
      <c r="K174" s="60">
        <v>0.9336178972540682</v>
      </c>
      <c r="L174" s="75">
        <v>1.0716167771967045</v>
      </c>
      <c r="M174" s="63">
        <f t="shared" si="48"/>
        <v>72315</v>
      </c>
      <c r="N174" s="63">
        <f t="shared" si="49"/>
        <v>65589.7</v>
      </c>
      <c r="O174" s="62"/>
      <c r="P174" s="76"/>
      <c r="Q174" s="77"/>
      <c r="R174" s="76"/>
      <c r="S174" s="77"/>
      <c r="T174" s="64"/>
      <c r="U174" s="45">
        <f t="shared" si="50"/>
        <v>65589.7</v>
      </c>
      <c r="V174" s="65"/>
    </row>
    <row r="175" spans="1:22" ht="25.5" hidden="1">
      <c r="A175" s="52" t="s">
        <v>51</v>
      </c>
      <c r="B175" s="53">
        <v>33</v>
      </c>
      <c r="C175" s="54" t="s">
        <v>52</v>
      </c>
      <c r="D175" s="55" t="s">
        <v>343</v>
      </c>
      <c r="E175" s="56" t="s">
        <v>344</v>
      </c>
      <c r="F175" s="43">
        <v>28.718</v>
      </c>
      <c r="G175" s="57"/>
      <c r="H175" s="57"/>
      <c r="I175" s="58"/>
      <c r="J175" s="59">
        <f t="shared" si="47"/>
        <v>742.8502282779862</v>
      </c>
      <c r="K175" s="60">
        <v>0.9336178972540682</v>
      </c>
      <c r="L175" s="75">
        <v>1.0328341780720691</v>
      </c>
      <c r="M175" s="63">
        <f t="shared" si="48"/>
        <v>20244</v>
      </c>
      <c r="N175" s="63">
        <f t="shared" si="49"/>
        <v>18361.3</v>
      </c>
      <c r="O175" s="62"/>
      <c r="P175" s="76"/>
      <c r="Q175" s="77"/>
      <c r="R175" s="76"/>
      <c r="S175" s="77"/>
      <c r="T175" s="64"/>
      <c r="U175" s="45">
        <f t="shared" si="50"/>
        <v>18361.3</v>
      </c>
      <c r="V175" s="65"/>
    </row>
    <row r="176" spans="1:22" ht="12.75" hidden="1">
      <c r="A176" s="52" t="s">
        <v>51</v>
      </c>
      <c r="B176" s="53">
        <v>34</v>
      </c>
      <c r="C176" s="54" t="s">
        <v>52</v>
      </c>
      <c r="D176" s="55" t="s">
        <v>345</v>
      </c>
      <c r="E176" s="56" t="s">
        <v>346</v>
      </c>
      <c r="F176" s="43">
        <v>12.901</v>
      </c>
      <c r="G176" s="57"/>
      <c r="H176" s="57"/>
      <c r="I176" s="58"/>
      <c r="J176" s="59">
        <f t="shared" si="47"/>
        <v>742.8502282779862</v>
      </c>
      <c r="K176" s="60">
        <v>0.9336178972540682</v>
      </c>
      <c r="L176" s="75">
        <v>1.0672348136034888</v>
      </c>
      <c r="M176" s="63">
        <f t="shared" si="48"/>
        <v>9248.1</v>
      </c>
      <c r="N176" s="63">
        <f t="shared" si="49"/>
        <v>8388</v>
      </c>
      <c r="O176" s="62"/>
      <c r="P176" s="76"/>
      <c r="Q176" s="77"/>
      <c r="R176" s="76"/>
      <c r="S176" s="77"/>
      <c r="T176" s="64"/>
      <c r="U176" s="45">
        <f t="shared" si="50"/>
        <v>8388</v>
      </c>
      <c r="V176" s="65"/>
    </row>
    <row r="177" spans="1:22" ht="12.75" hidden="1">
      <c r="A177" s="52" t="s">
        <v>51</v>
      </c>
      <c r="B177" s="53">
        <v>35</v>
      </c>
      <c r="C177" s="54" t="s">
        <v>52</v>
      </c>
      <c r="D177" s="55" t="s">
        <v>347</v>
      </c>
      <c r="E177" s="56" t="s">
        <v>348</v>
      </c>
      <c r="F177" s="43">
        <v>18.351</v>
      </c>
      <c r="G177" s="57"/>
      <c r="H177" s="57"/>
      <c r="I177" s="58"/>
      <c r="J177" s="59">
        <f t="shared" si="47"/>
        <v>742.8502282779862</v>
      </c>
      <c r="K177" s="60">
        <v>0.9336178972540682</v>
      </c>
      <c r="L177" s="75">
        <v>1.0383277427580957</v>
      </c>
      <c r="M177" s="63">
        <f t="shared" si="48"/>
        <v>12971</v>
      </c>
      <c r="N177" s="63">
        <f t="shared" si="49"/>
        <v>11764.7</v>
      </c>
      <c r="O177" s="62"/>
      <c r="P177" s="76"/>
      <c r="Q177" s="77"/>
      <c r="R177" s="76"/>
      <c r="S177" s="77"/>
      <c r="T177" s="64"/>
      <c r="U177" s="45">
        <f t="shared" si="50"/>
        <v>11764.7</v>
      </c>
      <c r="V177" s="65"/>
    </row>
    <row r="178" spans="1:22" ht="25.5" hidden="1">
      <c r="A178" s="52" t="s">
        <v>51</v>
      </c>
      <c r="B178" s="53">
        <v>36</v>
      </c>
      <c r="C178" s="54" t="s">
        <v>52</v>
      </c>
      <c r="D178" s="55" t="s">
        <v>349</v>
      </c>
      <c r="E178" s="56" t="s">
        <v>350</v>
      </c>
      <c r="F178" s="43">
        <v>30.842</v>
      </c>
      <c r="G178" s="57"/>
      <c r="H178" s="57"/>
      <c r="I178" s="58"/>
      <c r="J178" s="59">
        <f t="shared" si="47"/>
        <v>742.8502282779862</v>
      </c>
      <c r="K178" s="60">
        <v>0.9336178972540682</v>
      </c>
      <c r="L178" s="75">
        <v>1.074949417563315</v>
      </c>
      <c r="M178" s="63">
        <f t="shared" si="48"/>
        <v>22191.7</v>
      </c>
      <c r="N178" s="63">
        <f t="shared" si="49"/>
        <v>20127.9</v>
      </c>
      <c r="O178" s="62"/>
      <c r="P178" s="76"/>
      <c r="Q178" s="77"/>
      <c r="R178" s="76"/>
      <c r="S178" s="77"/>
      <c r="T178" s="64"/>
      <c r="U178" s="45">
        <f t="shared" si="50"/>
        <v>20127.9</v>
      </c>
      <c r="V178" s="65"/>
    </row>
    <row r="179" spans="1:22" s="82" customFormat="1" ht="13.5" hidden="1">
      <c r="A179" s="52" t="s">
        <v>51</v>
      </c>
      <c r="B179" s="53">
        <v>37</v>
      </c>
      <c r="C179" s="54" t="s">
        <v>52</v>
      </c>
      <c r="D179" s="55" t="s">
        <v>351</v>
      </c>
      <c r="E179" s="56" t="s">
        <v>352</v>
      </c>
      <c r="F179" s="43">
        <v>82.394</v>
      </c>
      <c r="G179" s="57"/>
      <c r="H179" s="57"/>
      <c r="I179" s="58"/>
      <c r="J179" s="59">
        <f t="shared" si="47"/>
        <v>742.8502282779862</v>
      </c>
      <c r="K179" s="60">
        <v>0.9336178972540682</v>
      </c>
      <c r="L179" s="75">
        <v>1.0201193467327083</v>
      </c>
      <c r="M179" s="63">
        <f t="shared" si="48"/>
        <v>57718.2</v>
      </c>
      <c r="N179" s="63">
        <f t="shared" si="49"/>
        <v>52350.4</v>
      </c>
      <c r="O179" s="62"/>
      <c r="P179" s="76"/>
      <c r="Q179" s="77"/>
      <c r="R179" s="76"/>
      <c r="S179" s="77"/>
      <c r="T179" s="64"/>
      <c r="U179" s="45">
        <f t="shared" si="50"/>
        <v>52350.4</v>
      </c>
      <c r="V179" s="65"/>
    </row>
    <row r="180" spans="1:22" s="129" customFormat="1" ht="12.75" hidden="1">
      <c r="A180" s="52" t="s">
        <v>51</v>
      </c>
      <c r="B180" s="53">
        <v>38</v>
      </c>
      <c r="C180" s="54" t="s">
        <v>52</v>
      </c>
      <c r="D180" s="55" t="s">
        <v>353</v>
      </c>
      <c r="E180" s="56" t="s">
        <v>354</v>
      </c>
      <c r="F180" s="43">
        <v>0</v>
      </c>
      <c r="G180" s="57"/>
      <c r="H180" s="57"/>
      <c r="I180" s="58"/>
      <c r="J180" s="59">
        <f t="shared" si="47"/>
        <v>742.8502282779862</v>
      </c>
      <c r="K180" s="60">
        <v>0.9336178972540682</v>
      </c>
      <c r="L180" s="75">
        <v>0</v>
      </c>
      <c r="M180" s="63">
        <f t="shared" si="48"/>
        <v>0</v>
      </c>
      <c r="N180" s="63">
        <f t="shared" si="49"/>
        <v>0</v>
      </c>
      <c r="O180" s="62"/>
      <c r="P180" s="76"/>
      <c r="Q180" s="77"/>
      <c r="R180" s="76"/>
      <c r="S180" s="77"/>
      <c r="T180" s="64"/>
      <c r="U180" s="45">
        <f t="shared" si="50"/>
        <v>0</v>
      </c>
      <c r="V180" s="65"/>
    </row>
    <row r="181" spans="1:22" ht="12.75" hidden="1">
      <c r="A181" s="52" t="s">
        <v>51</v>
      </c>
      <c r="B181" s="53">
        <v>39</v>
      </c>
      <c r="C181" s="54" t="s">
        <v>52</v>
      </c>
      <c r="D181" s="55" t="s">
        <v>355</v>
      </c>
      <c r="E181" s="56" t="s">
        <v>356</v>
      </c>
      <c r="F181" s="43">
        <v>18.804</v>
      </c>
      <c r="G181" s="57"/>
      <c r="H181" s="57"/>
      <c r="I181" s="58"/>
      <c r="J181" s="59">
        <f t="shared" si="47"/>
        <v>742.8502282779862</v>
      </c>
      <c r="K181" s="60">
        <v>0.9336178972540682</v>
      </c>
      <c r="L181" s="75">
        <v>1.0211364864677828</v>
      </c>
      <c r="M181" s="63">
        <f t="shared" si="48"/>
        <v>13179.1</v>
      </c>
      <c r="N181" s="63">
        <f t="shared" si="49"/>
        <v>11953.4</v>
      </c>
      <c r="O181" s="62"/>
      <c r="P181" s="76"/>
      <c r="Q181" s="77"/>
      <c r="R181" s="76"/>
      <c r="S181" s="77"/>
      <c r="T181" s="64"/>
      <c r="U181" s="45">
        <f t="shared" si="50"/>
        <v>11953.4</v>
      </c>
      <c r="V181" s="65"/>
    </row>
    <row r="182" spans="1:22" ht="25.5" hidden="1">
      <c r="A182" s="52" t="s">
        <v>51</v>
      </c>
      <c r="B182" s="53">
        <v>40</v>
      </c>
      <c r="C182" s="54" t="s">
        <v>52</v>
      </c>
      <c r="D182" s="55" t="s">
        <v>357</v>
      </c>
      <c r="E182" s="56" t="s">
        <v>358</v>
      </c>
      <c r="F182" s="43">
        <v>26.773</v>
      </c>
      <c r="G182" s="57"/>
      <c r="H182" s="57"/>
      <c r="I182" s="58"/>
      <c r="J182" s="59">
        <f t="shared" si="47"/>
        <v>742.8502282779862</v>
      </c>
      <c r="K182" s="60">
        <v>0.9336178972540682</v>
      </c>
      <c r="L182" s="75">
        <v>1.0711522528177901</v>
      </c>
      <c r="M182" s="63">
        <f t="shared" si="48"/>
        <v>19228.7</v>
      </c>
      <c r="N182" s="63">
        <f t="shared" si="49"/>
        <v>17440.4</v>
      </c>
      <c r="O182" s="62"/>
      <c r="P182" s="76"/>
      <c r="Q182" s="77"/>
      <c r="R182" s="76"/>
      <c r="S182" s="77"/>
      <c r="T182" s="64"/>
      <c r="U182" s="45">
        <f t="shared" si="50"/>
        <v>17440.4</v>
      </c>
      <c r="V182" s="65"/>
    </row>
    <row r="183" spans="1:22" ht="12.75" hidden="1">
      <c r="A183" s="52" t="s">
        <v>51</v>
      </c>
      <c r="B183" s="53">
        <v>41</v>
      </c>
      <c r="C183" s="54" t="s">
        <v>52</v>
      </c>
      <c r="D183" s="55" t="s">
        <v>359</v>
      </c>
      <c r="E183" s="56" t="s">
        <v>360</v>
      </c>
      <c r="F183" s="43">
        <v>23.768</v>
      </c>
      <c r="G183" s="57"/>
      <c r="H183" s="57"/>
      <c r="I183" s="58"/>
      <c r="J183" s="59">
        <f t="shared" si="47"/>
        <v>742.8502282779862</v>
      </c>
      <c r="K183" s="60">
        <v>0.9336178972540682</v>
      </c>
      <c r="L183" s="75">
        <v>1.0305075152443635</v>
      </c>
      <c r="M183" s="63">
        <f t="shared" si="48"/>
        <v>16735.5</v>
      </c>
      <c r="N183" s="63">
        <f t="shared" si="49"/>
        <v>15179.1</v>
      </c>
      <c r="O183" s="62"/>
      <c r="P183" s="76"/>
      <c r="Q183" s="77"/>
      <c r="R183" s="76"/>
      <c r="S183" s="77"/>
      <c r="T183" s="64"/>
      <c r="U183" s="45">
        <f t="shared" si="50"/>
        <v>15179.1</v>
      </c>
      <c r="V183" s="65"/>
    </row>
    <row r="184" spans="1:22" ht="12.75" hidden="1">
      <c r="A184" s="52" t="s">
        <v>51</v>
      </c>
      <c r="B184" s="53">
        <v>42</v>
      </c>
      <c r="C184" s="54" t="s">
        <v>52</v>
      </c>
      <c r="D184" s="55" t="s">
        <v>361</v>
      </c>
      <c r="E184" s="56" t="s">
        <v>362</v>
      </c>
      <c r="F184" s="43">
        <v>0</v>
      </c>
      <c r="G184" s="57"/>
      <c r="H184" s="57"/>
      <c r="I184" s="58"/>
      <c r="J184" s="59">
        <f t="shared" si="47"/>
        <v>742.8502282779862</v>
      </c>
      <c r="K184" s="60">
        <v>0.9336178972540682</v>
      </c>
      <c r="L184" s="75">
        <v>0</v>
      </c>
      <c r="M184" s="63">
        <f t="shared" si="48"/>
        <v>0</v>
      </c>
      <c r="N184" s="63">
        <f t="shared" si="49"/>
        <v>0</v>
      </c>
      <c r="O184" s="62"/>
      <c r="P184" s="76"/>
      <c r="Q184" s="77"/>
      <c r="R184" s="76"/>
      <c r="S184" s="77"/>
      <c r="T184" s="64"/>
      <c r="U184" s="45">
        <f t="shared" si="50"/>
        <v>0</v>
      </c>
      <c r="V184" s="65"/>
    </row>
    <row r="185" spans="1:22" ht="25.5" hidden="1">
      <c r="A185" s="52" t="s">
        <v>51</v>
      </c>
      <c r="B185" s="53">
        <v>43</v>
      </c>
      <c r="C185" s="54" t="s">
        <v>52</v>
      </c>
      <c r="D185" s="55" t="s">
        <v>363</v>
      </c>
      <c r="E185" s="56" t="s">
        <v>364</v>
      </c>
      <c r="F185" s="43">
        <v>0</v>
      </c>
      <c r="G185" s="57"/>
      <c r="H185" s="57"/>
      <c r="I185" s="58"/>
      <c r="J185" s="59">
        <f t="shared" si="47"/>
        <v>742.8502282779862</v>
      </c>
      <c r="K185" s="60">
        <v>0.9336178972540682</v>
      </c>
      <c r="L185" s="75">
        <v>0</v>
      </c>
      <c r="M185" s="63">
        <f t="shared" si="48"/>
        <v>0</v>
      </c>
      <c r="N185" s="63">
        <f t="shared" si="49"/>
        <v>0</v>
      </c>
      <c r="O185" s="62"/>
      <c r="P185" s="76"/>
      <c r="Q185" s="77"/>
      <c r="R185" s="76"/>
      <c r="S185" s="77"/>
      <c r="T185" s="64"/>
      <c r="U185" s="45">
        <f t="shared" si="50"/>
        <v>0</v>
      </c>
      <c r="V185" s="65"/>
    </row>
    <row r="186" spans="1:22" ht="12.75" hidden="1">
      <c r="A186" s="52" t="s">
        <v>51</v>
      </c>
      <c r="B186" s="53">
        <v>44</v>
      </c>
      <c r="C186" s="54" t="s">
        <v>52</v>
      </c>
      <c r="D186" s="55" t="s">
        <v>365</v>
      </c>
      <c r="E186" s="56" t="s">
        <v>366</v>
      </c>
      <c r="F186" s="43">
        <v>0</v>
      </c>
      <c r="G186" s="57"/>
      <c r="H186" s="57"/>
      <c r="I186" s="58"/>
      <c r="J186" s="59">
        <f t="shared" si="47"/>
        <v>742.8502282779862</v>
      </c>
      <c r="K186" s="60">
        <v>0.9336178972540682</v>
      </c>
      <c r="L186" s="75">
        <v>0</v>
      </c>
      <c r="M186" s="63">
        <f t="shared" si="48"/>
        <v>0</v>
      </c>
      <c r="N186" s="63">
        <f t="shared" si="49"/>
        <v>0</v>
      </c>
      <c r="O186" s="62"/>
      <c r="P186" s="76"/>
      <c r="Q186" s="77"/>
      <c r="R186" s="76"/>
      <c r="S186" s="77"/>
      <c r="T186" s="64"/>
      <c r="U186" s="45">
        <f t="shared" si="50"/>
        <v>0</v>
      </c>
      <c r="V186" s="65"/>
    </row>
    <row r="187" spans="1:22" ht="12.75" hidden="1">
      <c r="A187" s="52" t="s">
        <v>51</v>
      </c>
      <c r="B187" s="53">
        <v>45</v>
      </c>
      <c r="C187" s="54" t="s">
        <v>52</v>
      </c>
      <c r="D187" s="55" t="s">
        <v>367</v>
      </c>
      <c r="E187" s="56" t="s">
        <v>368</v>
      </c>
      <c r="F187" s="43">
        <v>27.057</v>
      </c>
      <c r="G187" s="57"/>
      <c r="H187" s="57"/>
      <c r="I187" s="58"/>
      <c r="J187" s="59">
        <f t="shared" si="47"/>
        <v>742.8502282779862</v>
      </c>
      <c r="K187" s="60">
        <v>0.9336178972540682</v>
      </c>
      <c r="L187" s="75">
        <v>1.038278998943283</v>
      </c>
      <c r="M187" s="63">
        <f t="shared" si="48"/>
        <v>19124.2</v>
      </c>
      <c r="N187" s="63">
        <f t="shared" si="49"/>
        <v>17345.6</v>
      </c>
      <c r="O187" s="62"/>
      <c r="P187" s="76"/>
      <c r="Q187" s="77"/>
      <c r="R187" s="76"/>
      <c r="S187" s="77"/>
      <c r="T187" s="64"/>
      <c r="U187" s="45">
        <f t="shared" si="50"/>
        <v>17345.6</v>
      </c>
      <c r="V187" s="65"/>
    </row>
    <row r="188" spans="1:22" ht="26.25" hidden="1">
      <c r="A188" s="38" t="s">
        <v>51</v>
      </c>
      <c r="B188" s="39" t="s">
        <v>26</v>
      </c>
      <c r="C188" s="40" t="s">
        <v>111</v>
      </c>
      <c r="D188" s="41"/>
      <c r="E188" s="79" t="s">
        <v>112</v>
      </c>
      <c r="F188" s="43">
        <f>SUM(F189:F191)</f>
        <v>56.580999999999996</v>
      </c>
      <c r="G188" s="83">
        <f>SUM(G189:G191)</f>
        <v>0</v>
      </c>
      <c r="H188" s="83">
        <f>SUM(H189:H191)</f>
        <v>0</v>
      </c>
      <c r="I188" s="122"/>
      <c r="J188" s="123"/>
      <c r="K188" s="122"/>
      <c r="L188" s="130">
        <v>1.0531114824546084</v>
      </c>
      <c r="M188" s="72">
        <f aca="true" t="shared" si="51" ref="M188:U188">SUM(M189:M191)</f>
        <v>44655.6</v>
      </c>
      <c r="N188" s="72">
        <f t="shared" si="51"/>
        <v>39641.799999999996</v>
      </c>
      <c r="O188" s="131">
        <f t="shared" si="51"/>
        <v>0</v>
      </c>
      <c r="P188" s="131">
        <f t="shared" si="51"/>
        <v>0</v>
      </c>
      <c r="Q188" s="132">
        <f t="shared" si="51"/>
        <v>0</v>
      </c>
      <c r="R188" s="131">
        <f t="shared" si="51"/>
        <v>0</v>
      </c>
      <c r="S188" s="132">
        <f t="shared" si="51"/>
        <v>0</v>
      </c>
      <c r="T188" s="133">
        <f t="shared" si="51"/>
        <v>0</v>
      </c>
      <c r="U188" s="134">
        <f t="shared" si="51"/>
        <v>39641.799999999996</v>
      </c>
      <c r="V188" s="135"/>
    </row>
    <row r="189" spans="1:22" ht="38.25" hidden="1">
      <c r="A189" s="52" t="s">
        <v>51</v>
      </c>
      <c r="B189" s="53">
        <v>46</v>
      </c>
      <c r="C189" s="54" t="s">
        <v>113</v>
      </c>
      <c r="D189" s="41" t="s">
        <v>369</v>
      </c>
      <c r="E189" s="56" t="s">
        <v>370</v>
      </c>
      <c r="F189" s="43">
        <v>44.156</v>
      </c>
      <c r="G189" s="57"/>
      <c r="H189" s="57"/>
      <c r="I189" s="58"/>
      <c r="J189" s="59">
        <f>+($F$7-$O$952-$Q$952-$P$952-$R$952-$S$952)/($F$952-$G$952*1-$H$952*0.5)*0.646*1.0268514</f>
        <v>742.8502282779862</v>
      </c>
      <c r="K189" s="60">
        <v>1.065228053001168</v>
      </c>
      <c r="L189" s="75">
        <v>1.0531114824546084</v>
      </c>
      <c r="M189" s="63">
        <f>ROUND(J189*(F189-G189-H189*I189)*K189*(0.5+0.5*L189),1)</f>
        <v>35868.7</v>
      </c>
      <c r="N189" s="63">
        <f>ROUND(M189*0.883,1)</f>
        <v>31672.1</v>
      </c>
      <c r="O189" s="62"/>
      <c r="P189" s="76"/>
      <c r="Q189" s="77"/>
      <c r="R189" s="76"/>
      <c r="S189" s="77"/>
      <c r="T189" s="64"/>
      <c r="U189" s="45">
        <f>+N189+O189+T189+R189+S189+Q189</f>
        <v>31672.1</v>
      </c>
      <c r="V189" s="65"/>
    </row>
    <row r="190" spans="1:22" ht="25.5" hidden="1">
      <c r="A190" s="52" t="s">
        <v>51</v>
      </c>
      <c r="B190" s="53">
        <v>47</v>
      </c>
      <c r="C190" s="54" t="s">
        <v>113</v>
      </c>
      <c r="D190" s="41" t="s">
        <v>371</v>
      </c>
      <c r="E190" s="56" t="s">
        <v>372</v>
      </c>
      <c r="F190" s="43">
        <v>3.004</v>
      </c>
      <c r="G190" s="57"/>
      <c r="H190" s="57"/>
      <c r="I190" s="58"/>
      <c r="J190" s="59">
        <f>+($F$7-$O$952-$Q$952-$P$952-$R$952-$S$952)/($F$952-$G$952*1-$H$952*0.5)*0.646*1.0268514</f>
        <v>742.8502282779862</v>
      </c>
      <c r="K190" s="60">
        <v>0.9336178972540682</v>
      </c>
      <c r="L190" s="75">
        <v>1.0672348136034888</v>
      </c>
      <c r="M190" s="63">
        <f>ROUND(J190*(F190-G190-H190*I190)*K190*(0.5+0.5*L190),1)</f>
        <v>2153.4</v>
      </c>
      <c r="N190" s="63">
        <f>ROUND(M190*0.907,1)</f>
        <v>1953.1</v>
      </c>
      <c r="O190" s="62"/>
      <c r="P190" s="76"/>
      <c r="Q190" s="77"/>
      <c r="R190" s="76"/>
      <c r="S190" s="77"/>
      <c r="T190" s="64"/>
      <c r="U190" s="45">
        <f>+N190+O190+T190+R190+S190+Q190</f>
        <v>1953.1</v>
      </c>
      <c r="V190" s="65"/>
    </row>
    <row r="191" spans="1:22" ht="25.5" hidden="1">
      <c r="A191" s="52" t="s">
        <v>51</v>
      </c>
      <c r="B191" s="53">
        <v>48</v>
      </c>
      <c r="C191" s="54" t="s">
        <v>113</v>
      </c>
      <c r="D191" s="41" t="s">
        <v>373</v>
      </c>
      <c r="E191" s="56" t="s">
        <v>374</v>
      </c>
      <c r="F191" s="43">
        <v>9.421</v>
      </c>
      <c r="G191" s="37"/>
      <c r="H191" s="37"/>
      <c r="I191" s="103"/>
      <c r="J191" s="59">
        <f>+($F$7-$O$952-$Q$952-$P$952-$R$952-$S$952)/($F$952-$G$952*1-$H$952*0.5)*0.646*1.0268514</f>
        <v>742.8502282779862</v>
      </c>
      <c r="K191" s="60">
        <v>0.9336178972540682</v>
      </c>
      <c r="L191" s="75">
        <v>1.0305075152443635</v>
      </c>
      <c r="M191" s="63">
        <f>ROUND(J191*(F191-G191-H191*I191)*K191*(0.5+0.5*L191),1)</f>
        <v>6633.5</v>
      </c>
      <c r="N191" s="63">
        <f>ROUND(M191*0.907,1)</f>
        <v>6016.6</v>
      </c>
      <c r="O191" s="62"/>
      <c r="P191" s="62"/>
      <c r="Q191" s="63"/>
      <c r="R191" s="62"/>
      <c r="S191" s="63"/>
      <c r="T191" s="64"/>
      <c r="U191" s="45">
        <f>+N191+O191+T191+R191+S191+Q191</f>
        <v>6016.6</v>
      </c>
      <c r="V191" s="65"/>
    </row>
    <row r="192" spans="1:22" ht="25.5" hidden="1">
      <c r="A192" s="38" t="s">
        <v>55</v>
      </c>
      <c r="B192" s="39" t="s">
        <v>26</v>
      </c>
      <c r="C192" s="40" t="s">
        <v>27</v>
      </c>
      <c r="D192" s="41"/>
      <c r="E192" s="127" t="s">
        <v>375</v>
      </c>
      <c r="F192" s="43">
        <f>F193+F194+F200+F224</f>
        <v>1247.549</v>
      </c>
      <c r="G192" s="44">
        <f>+G193+G194+G200+G224</f>
        <v>0</v>
      </c>
      <c r="H192" s="44">
        <f>+H193+H194+H200+H224</f>
        <v>0</v>
      </c>
      <c r="I192" s="45"/>
      <c r="J192" s="46"/>
      <c r="K192" s="47"/>
      <c r="L192" s="48">
        <v>1.0074357885337366</v>
      </c>
      <c r="M192" s="136">
        <f aca="true" t="shared" si="52" ref="M192:U192">M193+M194+M200+M224</f>
        <v>1387923.4000000001</v>
      </c>
      <c r="N192" s="136">
        <f t="shared" si="52"/>
        <v>1387923.3999999997</v>
      </c>
      <c r="O192" s="136">
        <f t="shared" si="52"/>
        <v>0</v>
      </c>
      <c r="P192" s="136">
        <f t="shared" si="52"/>
        <v>7192</v>
      </c>
      <c r="Q192" s="136">
        <f t="shared" si="52"/>
        <v>24880.4</v>
      </c>
      <c r="R192" s="136">
        <f t="shared" si="52"/>
        <v>33505.8</v>
      </c>
      <c r="S192" s="136">
        <f t="shared" si="52"/>
        <v>275.4</v>
      </c>
      <c r="T192" s="136">
        <f t="shared" si="52"/>
        <v>0</v>
      </c>
      <c r="U192" s="136">
        <f t="shared" si="52"/>
        <v>1453776.9999999998</v>
      </c>
      <c r="V192" s="125"/>
    </row>
    <row r="193" spans="1:22" ht="12.75" hidden="1">
      <c r="A193" s="52" t="s">
        <v>55</v>
      </c>
      <c r="B193" s="53" t="s">
        <v>26</v>
      </c>
      <c r="C193" s="54" t="s">
        <v>29</v>
      </c>
      <c r="D193" s="55" t="s">
        <v>376</v>
      </c>
      <c r="E193" s="56" t="s">
        <v>31</v>
      </c>
      <c r="F193" s="43">
        <v>0</v>
      </c>
      <c r="G193" s="128"/>
      <c r="H193" s="128"/>
      <c r="I193" s="58"/>
      <c r="J193" s="59">
        <f>+($F$7-$O$952-$Q$952-$P$952-R$952-$S$952)/$F$952*0.354*0.951</f>
        <v>376.76602120660414</v>
      </c>
      <c r="K193" s="60">
        <v>0</v>
      </c>
      <c r="L193" s="48">
        <v>1.0074357885337366</v>
      </c>
      <c r="M193" s="49">
        <f>ROUND(J193*(F194+F200+F224)*(0.5+0.5*L193),1)</f>
        <v>471781.6</v>
      </c>
      <c r="N193" s="49">
        <f>M193+ROUND(SUM(M195:M199)*0.117+SUM(M201:M223)*0.093+SUM(M225:M233)*0.093,1)+0.1</f>
        <v>566254.3999999999</v>
      </c>
      <c r="O193" s="61"/>
      <c r="P193" s="62">
        <v>7192</v>
      </c>
      <c r="Q193" s="63">
        <v>24880.4</v>
      </c>
      <c r="R193" s="62">
        <v>33505.8</v>
      </c>
      <c r="S193" s="63">
        <v>275.4</v>
      </c>
      <c r="T193" s="64"/>
      <c r="U193" s="45">
        <f>N193+O193+P193+Q193+R193+S193+T193</f>
        <v>632108</v>
      </c>
      <c r="V193" s="65"/>
    </row>
    <row r="194" spans="1:22" ht="13.5" hidden="1">
      <c r="A194" s="38" t="s">
        <v>55</v>
      </c>
      <c r="B194" s="39" t="s">
        <v>26</v>
      </c>
      <c r="C194" s="40" t="s">
        <v>33</v>
      </c>
      <c r="D194" s="41"/>
      <c r="E194" s="79" t="s">
        <v>34</v>
      </c>
      <c r="F194" s="43">
        <f>SUM(F195:F199)</f>
        <v>492.436</v>
      </c>
      <c r="G194" s="67">
        <f>SUM(G195:G199)</f>
        <v>0</v>
      </c>
      <c r="H194" s="68">
        <f>SUM(H195:H199)</f>
        <v>0</v>
      </c>
      <c r="I194" s="69"/>
      <c r="J194" s="59"/>
      <c r="K194" s="70"/>
      <c r="L194" s="71">
        <v>0.9828040050133522</v>
      </c>
      <c r="M194" s="72">
        <f aca="true" t="shared" si="53" ref="M194:U194">SUM(M195:M199)</f>
        <v>386312.7</v>
      </c>
      <c r="N194" s="72">
        <f t="shared" si="53"/>
        <v>341114.1</v>
      </c>
      <c r="O194" s="72">
        <f t="shared" si="53"/>
        <v>0</v>
      </c>
      <c r="P194" s="72">
        <f t="shared" si="53"/>
        <v>0</v>
      </c>
      <c r="Q194" s="72">
        <f t="shared" si="53"/>
        <v>0</v>
      </c>
      <c r="R194" s="72">
        <f t="shared" si="53"/>
        <v>0</v>
      </c>
      <c r="S194" s="72">
        <f t="shared" si="53"/>
        <v>0</v>
      </c>
      <c r="T194" s="72">
        <f t="shared" si="53"/>
        <v>12446.4</v>
      </c>
      <c r="U194" s="72">
        <f t="shared" si="53"/>
        <v>353560.5</v>
      </c>
      <c r="V194" s="73"/>
    </row>
    <row r="195" spans="1:22" ht="12.75" hidden="1">
      <c r="A195" s="52" t="s">
        <v>55</v>
      </c>
      <c r="B195" s="53" t="s">
        <v>35</v>
      </c>
      <c r="C195" s="54" t="s">
        <v>36</v>
      </c>
      <c r="D195" s="55" t="s">
        <v>377</v>
      </c>
      <c r="E195" s="74" t="s">
        <v>378</v>
      </c>
      <c r="F195" s="43">
        <v>267.61</v>
      </c>
      <c r="G195" s="57"/>
      <c r="H195" s="57"/>
      <c r="I195" s="58"/>
      <c r="J195" s="59">
        <f>+($F$7-$O$952-$Q$952-$P$952-$R$952-$S$952)/($F$952-$G$952*1-$H$952*0.5)*0.646*1.0268514</f>
        <v>742.8502282779862</v>
      </c>
      <c r="K195" s="60">
        <v>1.065228053001168</v>
      </c>
      <c r="L195" s="75">
        <v>0.9655530428373709</v>
      </c>
      <c r="M195" s="63">
        <f>ROUND(J195*(F195-G195-H195*I195)*K195*(0.5+0.5*L195),1)</f>
        <v>208113.8</v>
      </c>
      <c r="N195" s="63">
        <f>ROUND(M195*0.883,1)</f>
        <v>183764.5</v>
      </c>
      <c r="O195" s="62"/>
      <c r="P195" s="76"/>
      <c r="Q195" s="77"/>
      <c r="R195" s="76"/>
      <c r="S195" s="77"/>
      <c r="T195" s="64"/>
      <c r="U195" s="45">
        <f>+N195+O195+T195+R195+S195+Q195</f>
        <v>183764.5</v>
      </c>
      <c r="V195" s="65"/>
    </row>
    <row r="196" spans="1:22" ht="12.75" hidden="1">
      <c r="A196" s="52" t="s">
        <v>55</v>
      </c>
      <c r="B196" s="53" t="s">
        <v>32</v>
      </c>
      <c r="C196" s="54" t="s">
        <v>36</v>
      </c>
      <c r="D196" s="55" t="s">
        <v>379</v>
      </c>
      <c r="E196" s="78" t="s">
        <v>380</v>
      </c>
      <c r="F196" s="43">
        <v>77.197</v>
      </c>
      <c r="G196" s="57"/>
      <c r="H196" s="57"/>
      <c r="I196" s="58"/>
      <c r="J196" s="59">
        <f>+($F$7-$O$952-$Q$952-$P$952-$R$952-$S$952)/($F$952-$G$952*1-$H$952*0.5)*0.646*1.0268514</f>
        <v>742.8502282779862</v>
      </c>
      <c r="K196" s="60">
        <v>1.065228053001168</v>
      </c>
      <c r="L196" s="75">
        <v>1.0273716888400373</v>
      </c>
      <c r="M196" s="63">
        <f>ROUND(J196*(F196-G196-H196*I196)*K196*(0.5+0.5*L196),1)</f>
        <v>61922.4</v>
      </c>
      <c r="N196" s="63">
        <f>ROUND(M196*0.883,1)</f>
        <v>54677.5</v>
      </c>
      <c r="O196" s="62"/>
      <c r="P196" s="76"/>
      <c r="Q196" s="77"/>
      <c r="R196" s="76"/>
      <c r="S196" s="77"/>
      <c r="T196" s="64">
        <f>331.1</f>
        <v>331.1</v>
      </c>
      <c r="U196" s="45">
        <f>+N196+O196+T196+R196+S196+Q196</f>
        <v>55008.6</v>
      </c>
      <c r="V196" s="65"/>
    </row>
    <row r="197" spans="1:22" ht="12.75" hidden="1">
      <c r="A197" s="52" t="s">
        <v>55</v>
      </c>
      <c r="B197" s="53" t="s">
        <v>118</v>
      </c>
      <c r="C197" s="54" t="s">
        <v>36</v>
      </c>
      <c r="D197" s="55" t="s">
        <v>381</v>
      </c>
      <c r="E197" s="78" t="s">
        <v>382</v>
      </c>
      <c r="F197" s="43">
        <v>64.886</v>
      </c>
      <c r="G197" s="57"/>
      <c r="H197" s="57"/>
      <c r="I197" s="58"/>
      <c r="J197" s="59">
        <f>+($F$7-$O$952-$Q$952-$P$952-$R$952-$S$952)/($F$952-$G$952*1-$H$952*0.5)*0.646*1.0268514</f>
        <v>742.8502282779862</v>
      </c>
      <c r="K197" s="60">
        <v>1.065228053001168</v>
      </c>
      <c r="L197" s="75">
        <v>1.0087734540533966</v>
      </c>
      <c r="M197" s="63">
        <f>ROUND(J197*(F197-G197-H197*I197)*K197*(0.5+0.5*L197),1)</f>
        <v>51569.8</v>
      </c>
      <c r="N197" s="63">
        <f>ROUND(M197*0.883,1)</f>
        <v>45536.1</v>
      </c>
      <c r="O197" s="62"/>
      <c r="P197" s="76"/>
      <c r="Q197" s="77"/>
      <c r="R197" s="76"/>
      <c r="S197" s="77"/>
      <c r="T197" s="64"/>
      <c r="U197" s="45">
        <f>+N197+O197+T197+R197+S197+Q197</f>
        <v>45536.1</v>
      </c>
      <c r="V197" s="65"/>
    </row>
    <row r="198" spans="1:22" ht="12.75" hidden="1">
      <c r="A198" s="52" t="s">
        <v>55</v>
      </c>
      <c r="B198" s="53" t="s">
        <v>127</v>
      </c>
      <c r="C198" s="54" t="s">
        <v>36</v>
      </c>
      <c r="D198" s="55" t="s">
        <v>383</v>
      </c>
      <c r="E198" s="137" t="s">
        <v>384</v>
      </c>
      <c r="F198" s="43">
        <v>56.155</v>
      </c>
      <c r="G198" s="57"/>
      <c r="H198" s="57"/>
      <c r="I198" s="58"/>
      <c r="J198" s="59">
        <f>+($F$7-$O$952-$Q$952-$P$952-$R$952-$S$952)/($F$952-$G$952*1-$H$952*0.5)*0.646*1.0268514</f>
        <v>742.8502282779862</v>
      </c>
      <c r="K198" s="60">
        <v>1.065228053001168</v>
      </c>
      <c r="L198" s="75">
        <v>0.9658927972228782</v>
      </c>
      <c r="M198" s="63">
        <f>ROUND(J198*(F198-G198-H198*I198)*K198*(0.5+0.5*L198),1)</f>
        <v>43677.9</v>
      </c>
      <c r="N198" s="63">
        <f>ROUND(M198*0.883,1)</f>
        <v>38567.6</v>
      </c>
      <c r="O198" s="62"/>
      <c r="P198" s="76"/>
      <c r="Q198" s="77"/>
      <c r="R198" s="76"/>
      <c r="S198" s="77"/>
      <c r="T198" s="64"/>
      <c r="U198" s="45">
        <f>+N198+O198+T198+R198+S198+Q198</f>
        <v>38567.6</v>
      </c>
      <c r="V198" s="65"/>
    </row>
    <row r="199" spans="1:22" ht="12.75" hidden="1">
      <c r="A199" s="52" t="s">
        <v>55</v>
      </c>
      <c r="B199" s="53" t="s">
        <v>51</v>
      </c>
      <c r="C199" s="54" t="s">
        <v>36</v>
      </c>
      <c r="D199" s="55" t="s">
        <v>385</v>
      </c>
      <c r="E199" s="78" t="s">
        <v>386</v>
      </c>
      <c r="F199" s="43">
        <v>26.588</v>
      </c>
      <c r="G199" s="57"/>
      <c r="H199" s="57"/>
      <c r="I199" s="58"/>
      <c r="J199" s="59">
        <f>+($F$7-$O$952-$Q$952-$P$952-$R$952-$S$952)/($F$952-$G$952*1-$H$952*0.5)*0.646*1.0268514</f>
        <v>742.8502282779862</v>
      </c>
      <c r="K199" s="60">
        <v>1.065228053001168</v>
      </c>
      <c r="L199" s="75">
        <v>0.9990065516207793</v>
      </c>
      <c r="M199" s="63">
        <f>ROUND(J199*(F199-G199-H199*I199)*K199*(0.5+0.5*L199),1)</f>
        <v>21028.8</v>
      </c>
      <c r="N199" s="63">
        <f>ROUND(M199*0.883,1)</f>
        <v>18568.4</v>
      </c>
      <c r="O199" s="62"/>
      <c r="P199" s="76"/>
      <c r="Q199" s="77"/>
      <c r="R199" s="76"/>
      <c r="S199" s="77"/>
      <c r="T199" s="64">
        <f>ROUND(N213,1)</f>
        <v>12115.3</v>
      </c>
      <c r="U199" s="45">
        <f>+N199+O199+T199+R199+S199+Q199</f>
        <v>30683.7</v>
      </c>
      <c r="V199" s="65"/>
    </row>
    <row r="200" spans="1:22" ht="31.5" customHeight="1" hidden="1">
      <c r="A200" s="38" t="s">
        <v>55</v>
      </c>
      <c r="B200" s="39" t="s">
        <v>26</v>
      </c>
      <c r="C200" s="40" t="s">
        <v>49</v>
      </c>
      <c r="D200" s="41"/>
      <c r="E200" s="79" t="s">
        <v>50</v>
      </c>
      <c r="F200" s="43">
        <f>SUM(F201:F223)</f>
        <v>703.6580000000001</v>
      </c>
      <c r="G200" s="67">
        <f>SUM(G201:G223)</f>
        <v>0</v>
      </c>
      <c r="H200" s="68">
        <f>SUM(H201:H223)</f>
        <v>0</v>
      </c>
      <c r="I200" s="69"/>
      <c r="J200" s="80"/>
      <c r="K200" s="70"/>
      <c r="L200" s="71">
        <v>1.023432880648551</v>
      </c>
      <c r="M200" s="72">
        <f aca="true" t="shared" si="54" ref="M200:U200">SUM(M201:M223)</f>
        <v>493758.80000000005</v>
      </c>
      <c r="N200" s="72">
        <f t="shared" si="54"/>
        <v>447839.1999999999</v>
      </c>
      <c r="O200" s="72">
        <f t="shared" si="54"/>
        <v>0</v>
      </c>
      <c r="P200" s="72">
        <f t="shared" si="54"/>
        <v>0</v>
      </c>
      <c r="Q200" s="72">
        <f t="shared" si="54"/>
        <v>0</v>
      </c>
      <c r="R200" s="72">
        <f t="shared" si="54"/>
        <v>0</v>
      </c>
      <c r="S200" s="72">
        <f t="shared" si="54"/>
        <v>0</v>
      </c>
      <c r="T200" s="72">
        <f t="shared" si="54"/>
        <v>-12446.4</v>
      </c>
      <c r="U200" s="72">
        <f t="shared" si="54"/>
        <v>435392.79999999993</v>
      </c>
      <c r="V200" s="73"/>
    </row>
    <row r="201" spans="1:22" ht="12.75" hidden="1">
      <c r="A201" s="52" t="s">
        <v>55</v>
      </c>
      <c r="B201" s="53" t="s">
        <v>51</v>
      </c>
      <c r="C201" s="54" t="s">
        <v>52</v>
      </c>
      <c r="D201" s="55" t="s">
        <v>387</v>
      </c>
      <c r="E201" s="56" t="s">
        <v>388</v>
      </c>
      <c r="F201" s="43">
        <v>28.016</v>
      </c>
      <c r="G201" s="128"/>
      <c r="H201" s="128"/>
      <c r="I201" s="58"/>
      <c r="J201" s="59">
        <f aca="true" t="shared" si="55" ref="J201:J223">+($F$7-$O$952-$Q$952-$P$952-$R$952-$S$952)/($F$952-$G$952*1-$H$952*0.5)*0.646*1.0268514</f>
        <v>742.8502282779862</v>
      </c>
      <c r="K201" s="60">
        <v>0.9336178972540682</v>
      </c>
      <c r="L201" s="75">
        <v>1.047472615932231</v>
      </c>
      <c r="M201" s="63">
        <f aca="true" t="shared" si="56" ref="M201:M223">ROUND(J201*(F201-G201-H201*I201)*K201*(0.5+0.5*L201),1)</f>
        <v>19891.4</v>
      </c>
      <c r="N201" s="63">
        <f aca="true" t="shared" si="57" ref="N201:N223">ROUND(M201*0.907,1)</f>
        <v>18041.5</v>
      </c>
      <c r="O201" s="62"/>
      <c r="P201" s="76"/>
      <c r="Q201" s="77"/>
      <c r="R201" s="76"/>
      <c r="S201" s="77"/>
      <c r="T201" s="64"/>
      <c r="U201" s="45">
        <f aca="true" t="shared" si="58" ref="U201:U223">+N201+O201+T201+R201+S201+Q201</f>
        <v>18041.5</v>
      </c>
      <c r="V201" s="65"/>
    </row>
    <row r="202" spans="1:22" ht="12.75" hidden="1">
      <c r="A202" s="52" t="s">
        <v>55</v>
      </c>
      <c r="B202" s="53" t="s">
        <v>55</v>
      </c>
      <c r="C202" s="54" t="s">
        <v>52</v>
      </c>
      <c r="D202" s="55" t="s">
        <v>389</v>
      </c>
      <c r="E202" s="56" t="s">
        <v>390</v>
      </c>
      <c r="F202" s="43">
        <v>36.403</v>
      </c>
      <c r="G202" s="57"/>
      <c r="H202" s="57"/>
      <c r="I202" s="58"/>
      <c r="J202" s="59">
        <f t="shared" si="55"/>
        <v>742.8502282779862</v>
      </c>
      <c r="K202" s="60">
        <v>0.9336178972540682</v>
      </c>
      <c r="L202" s="75">
        <v>1.014208866764496</v>
      </c>
      <c r="M202" s="63">
        <f t="shared" si="56"/>
        <v>25426.2</v>
      </c>
      <c r="N202" s="63">
        <f t="shared" si="57"/>
        <v>23061.6</v>
      </c>
      <c r="O202" s="62"/>
      <c r="P202" s="76"/>
      <c r="Q202" s="77"/>
      <c r="R202" s="76"/>
      <c r="S202" s="77"/>
      <c r="T202" s="64"/>
      <c r="U202" s="45">
        <f t="shared" si="58"/>
        <v>23061.6</v>
      </c>
      <c r="V202" s="65"/>
    </row>
    <row r="203" spans="1:22" s="82" customFormat="1" ht="13.5" hidden="1">
      <c r="A203" s="52" t="s">
        <v>55</v>
      </c>
      <c r="B203" s="53" t="s">
        <v>58</v>
      </c>
      <c r="C203" s="54" t="s">
        <v>52</v>
      </c>
      <c r="D203" s="55" t="s">
        <v>391</v>
      </c>
      <c r="E203" s="56" t="s">
        <v>392</v>
      </c>
      <c r="F203" s="43">
        <v>28.583</v>
      </c>
      <c r="G203" s="57"/>
      <c r="H203" s="57"/>
      <c r="I203" s="58"/>
      <c r="J203" s="59">
        <f t="shared" si="55"/>
        <v>742.8502282779862</v>
      </c>
      <c r="K203" s="60">
        <v>0.9336178972540682</v>
      </c>
      <c r="L203" s="75">
        <v>1.0505426054852256</v>
      </c>
      <c r="M203" s="63">
        <f t="shared" si="56"/>
        <v>20324.4</v>
      </c>
      <c r="N203" s="63">
        <f t="shared" si="57"/>
        <v>18434.2</v>
      </c>
      <c r="O203" s="62"/>
      <c r="P203" s="76"/>
      <c r="Q203" s="77"/>
      <c r="R203" s="76"/>
      <c r="S203" s="77"/>
      <c r="T203" s="64">
        <f>-331.1</f>
        <v>-331.1</v>
      </c>
      <c r="U203" s="45">
        <f t="shared" si="58"/>
        <v>18103.100000000002</v>
      </c>
      <c r="V203" s="65"/>
    </row>
    <row r="204" spans="1:22" s="82" customFormat="1" ht="13.5" hidden="1">
      <c r="A204" s="52" t="s">
        <v>55</v>
      </c>
      <c r="B204" s="53" t="s">
        <v>61</v>
      </c>
      <c r="C204" s="54" t="s">
        <v>52</v>
      </c>
      <c r="D204" s="55" t="s">
        <v>393</v>
      </c>
      <c r="E204" s="56" t="s">
        <v>394</v>
      </c>
      <c r="F204" s="43">
        <v>15.157</v>
      </c>
      <c r="G204" s="57"/>
      <c r="H204" s="57"/>
      <c r="I204" s="58"/>
      <c r="J204" s="59">
        <f t="shared" si="55"/>
        <v>742.8502282779862</v>
      </c>
      <c r="K204" s="60">
        <v>0.9336178972540682</v>
      </c>
      <c r="L204" s="75">
        <v>1.0271875712279217</v>
      </c>
      <c r="M204" s="63">
        <f t="shared" si="56"/>
        <v>10654.9</v>
      </c>
      <c r="N204" s="63">
        <f t="shared" si="57"/>
        <v>9664</v>
      </c>
      <c r="O204" s="62"/>
      <c r="P204" s="76"/>
      <c r="Q204" s="77"/>
      <c r="R204" s="76"/>
      <c r="S204" s="77"/>
      <c r="T204" s="64"/>
      <c r="U204" s="45">
        <f t="shared" si="58"/>
        <v>9664</v>
      </c>
      <c r="V204" s="65"/>
    </row>
    <row r="205" spans="1:22" s="129" customFormat="1" ht="25.5" hidden="1">
      <c r="A205" s="52" t="s">
        <v>55</v>
      </c>
      <c r="B205" s="53" t="s">
        <v>64</v>
      </c>
      <c r="C205" s="54" t="s">
        <v>52</v>
      </c>
      <c r="D205" s="55" t="s">
        <v>395</v>
      </c>
      <c r="E205" s="56" t="s">
        <v>396</v>
      </c>
      <c r="F205" s="43">
        <v>18.992</v>
      </c>
      <c r="G205" s="57"/>
      <c r="H205" s="57"/>
      <c r="I205" s="58"/>
      <c r="J205" s="59">
        <f t="shared" si="55"/>
        <v>742.8502282779862</v>
      </c>
      <c r="K205" s="60">
        <v>0.9336178972540682</v>
      </c>
      <c r="L205" s="75">
        <v>0.9931743773839272</v>
      </c>
      <c r="M205" s="63">
        <f t="shared" si="56"/>
        <v>13126.7</v>
      </c>
      <c r="N205" s="63">
        <f t="shared" si="57"/>
        <v>11905.9</v>
      </c>
      <c r="O205" s="62"/>
      <c r="P205" s="76"/>
      <c r="Q205" s="77"/>
      <c r="R205" s="76"/>
      <c r="S205" s="77"/>
      <c r="T205" s="64"/>
      <c r="U205" s="45">
        <f t="shared" si="58"/>
        <v>11905.9</v>
      </c>
      <c r="V205" s="65"/>
    </row>
    <row r="206" spans="1:22" s="91" customFormat="1" ht="25.5" hidden="1">
      <c r="A206" s="52" t="s">
        <v>55</v>
      </c>
      <c r="B206" s="53">
        <v>10</v>
      </c>
      <c r="C206" s="54" t="s">
        <v>52</v>
      </c>
      <c r="D206" s="55" t="s">
        <v>397</v>
      </c>
      <c r="E206" s="56" t="s">
        <v>398</v>
      </c>
      <c r="F206" s="43">
        <v>28.637</v>
      </c>
      <c r="G206" s="57"/>
      <c r="H206" s="57"/>
      <c r="I206" s="58"/>
      <c r="J206" s="59">
        <f t="shared" si="55"/>
        <v>742.8502282779862</v>
      </c>
      <c r="K206" s="60">
        <v>0.9336178972540682</v>
      </c>
      <c r="L206" s="75">
        <v>1.0112561869135552</v>
      </c>
      <c r="M206" s="63">
        <f t="shared" si="56"/>
        <v>19972.6</v>
      </c>
      <c r="N206" s="63">
        <f t="shared" si="57"/>
        <v>18115.1</v>
      </c>
      <c r="O206" s="62"/>
      <c r="P206" s="76"/>
      <c r="Q206" s="77"/>
      <c r="R206" s="76"/>
      <c r="S206" s="77"/>
      <c r="T206" s="64"/>
      <c r="U206" s="45">
        <f t="shared" si="58"/>
        <v>18115.1</v>
      </c>
      <c r="V206" s="65"/>
    </row>
    <row r="207" spans="1:22" ht="12.75" hidden="1">
      <c r="A207" s="52" t="s">
        <v>55</v>
      </c>
      <c r="B207" s="53">
        <v>11</v>
      </c>
      <c r="C207" s="54" t="s">
        <v>52</v>
      </c>
      <c r="D207" s="55" t="s">
        <v>399</v>
      </c>
      <c r="E207" s="56" t="s">
        <v>400</v>
      </c>
      <c r="F207" s="43">
        <v>33.381</v>
      </c>
      <c r="G207" s="57"/>
      <c r="H207" s="57"/>
      <c r="I207" s="58"/>
      <c r="J207" s="59">
        <f t="shared" si="55"/>
        <v>742.8502282779862</v>
      </c>
      <c r="K207" s="60">
        <v>0.9336178972540682</v>
      </c>
      <c r="L207" s="75">
        <v>1.0134490839584116</v>
      </c>
      <c r="M207" s="63">
        <f t="shared" si="56"/>
        <v>23306.7</v>
      </c>
      <c r="N207" s="63">
        <f t="shared" si="57"/>
        <v>21139.2</v>
      </c>
      <c r="O207" s="62"/>
      <c r="P207" s="76"/>
      <c r="Q207" s="77"/>
      <c r="R207" s="76"/>
      <c r="S207" s="77"/>
      <c r="T207" s="64"/>
      <c r="U207" s="45">
        <f t="shared" si="58"/>
        <v>21139.2</v>
      </c>
      <c r="V207" s="65"/>
    </row>
    <row r="208" spans="1:22" ht="12.75" hidden="1">
      <c r="A208" s="52" t="s">
        <v>55</v>
      </c>
      <c r="B208" s="53">
        <v>12</v>
      </c>
      <c r="C208" s="54" t="s">
        <v>52</v>
      </c>
      <c r="D208" s="55" t="s">
        <v>401</v>
      </c>
      <c r="E208" s="56" t="s">
        <v>402</v>
      </c>
      <c r="F208" s="43">
        <v>64.448</v>
      </c>
      <c r="G208" s="57"/>
      <c r="H208" s="57"/>
      <c r="I208" s="58"/>
      <c r="J208" s="59">
        <f t="shared" si="55"/>
        <v>742.8502282779862</v>
      </c>
      <c r="K208" s="60">
        <v>0.9336178972540682</v>
      </c>
      <c r="L208" s="75">
        <v>1.0108854501285984</v>
      </c>
      <c r="M208" s="63">
        <f t="shared" si="56"/>
        <v>44940.4</v>
      </c>
      <c r="N208" s="63">
        <f t="shared" si="57"/>
        <v>40760.9</v>
      </c>
      <c r="O208" s="62"/>
      <c r="P208" s="76"/>
      <c r="Q208" s="77"/>
      <c r="R208" s="76"/>
      <c r="S208" s="77"/>
      <c r="T208" s="64"/>
      <c r="U208" s="45">
        <f t="shared" si="58"/>
        <v>40760.9</v>
      </c>
      <c r="V208" s="65"/>
    </row>
    <row r="209" spans="1:22" ht="12.75" hidden="1">
      <c r="A209" s="52" t="s">
        <v>55</v>
      </c>
      <c r="B209" s="53">
        <v>13</v>
      </c>
      <c r="C209" s="54" t="s">
        <v>52</v>
      </c>
      <c r="D209" s="55" t="s">
        <v>403</v>
      </c>
      <c r="E209" s="56" t="s">
        <v>404</v>
      </c>
      <c r="F209" s="43">
        <v>26.957</v>
      </c>
      <c r="G209" s="57"/>
      <c r="H209" s="57"/>
      <c r="I209" s="58"/>
      <c r="J209" s="59">
        <f t="shared" si="55"/>
        <v>742.8502282779862</v>
      </c>
      <c r="K209" s="60">
        <v>0.9336178972540682</v>
      </c>
      <c r="L209" s="75">
        <v>1.0716349840648047</v>
      </c>
      <c r="M209" s="63">
        <f t="shared" si="56"/>
        <v>19365.3</v>
      </c>
      <c r="N209" s="63">
        <f t="shared" si="57"/>
        <v>17564.3</v>
      </c>
      <c r="O209" s="62"/>
      <c r="P209" s="76"/>
      <c r="Q209" s="77"/>
      <c r="R209" s="76"/>
      <c r="S209" s="77"/>
      <c r="T209" s="64"/>
      <c r="U209" s="45">
        <f t="shared" si="58"/>
        <v>17564.3</v>
      </c>
      <c r="V209" s="65"/>
    </row>
    <row r="210" spans="1:22" ht="12.75" hidden="1">
      <c r="A210" s="52" t="s">
        <v>55</v>
      </c>
      <c r="B210" s="53">
        <v>14</v>
      </c>
      <c r="C210" s="54" t="s">
        <v>52</v>
      </c>
      <c r="D210" s="55" t="s">
        <v>405</v>
      </c>
      <c r="E210" s="56" t="s">
        <v>406</v>
      </c>
      <c r="F210" s="43">
        <v>40.659</v>
      </c>
      <c r="G210" s="57"/>
      <c r="H210" s="57"/>
      <c r="I210" s="58"/>
      <c r="J210" s="59">
        <f t="shared" si="55"/>
        <v>742.8502282779862</v>
      </c>
      <c r="K210" s="60">
        <v>0.9336178972540682</v>
      </c>
      <c r="L210" s="75">
        <v>1.0007920288038386</v>
      </c>
      <c r="M210" s="63">
        <f t="shared" si="56"/>
        <v>28209.7</v>
      </c>
      <c r="N210" s="63">
        <f t="shared" si="57"/>
        <v>25586.2</v>
      </c>
      <c r="O210" s="62"/>
      <c r="P210" s="76"/>
      <c r="Q210" s="77"/>
      <c r="R210" s="76"/>
      <c r="S210" s="77"/>
      <c r="T210" s="64"/>
      <c r="U210" s="45">
        <f t="shared" si="58"/>
        <v>25586.2</v>
      </c>
      <c r="V210" s="65"/>
    </row>
    <row r="211" spans="1:22" ht="12.75" hidden="1">
      <c r="A211" s="52" t="s">
        <v>55</v>
      </c>
      <c r="B211" s="53">
        <v>15</v>
      </c>
      <c r="C211" s="54" t="s">
        <v>52</v>
      </c>
      <c r="D211" s="55" t="s">
        <v>407</v>
      </c>
      <c r="E211" s="56" t="s">
        <v>408</v>
      </c>
      <c r="F211" s="43">
        <v>16.574</v>
      </c>
      <c r="G211" s="57"/>
      <c r="H211" s="57"/>
      <c r="I211" s="58"/>
      <c r="J211" s="59">
        <f t="shared" si="55"/>
        <v>742.8502282779862</v>
      </c>
      <c r="K211" s="60">
        <v>0.9336178972540682</v>
      </c>
      <c r="L211" s="75">
        <v>1.044361115676637</v>
      </c>
      <c r="M211" s="63">
        <f t="shared" si="56"/>
        <v>11749.7</v>
      </c>
      <c r="N211" s="63">
        <f t="shared" si="57"/>
        <v>10657</v>
      </c>
      <c r="O211" s="62"/>
      <c r="P211" s="76"/>
      <c r="Q211" s="77"/>
      <c r="R211" s="76"/>
      <c r="S211" s="77"/>
      <c r="T211" s="64"/>
      <c r="U211" s="45">
        <f t="shared" si="58"/>
        <v>10657</v>
      </c>
      <c r="V211" s="65"/>
    </row>
    <row r="212" spans="1:22" s="82" customFormat="1" ht="13.5" hidden="1">
      <c r="A212" s="52" t="s">
        <v>55</v>
      </c>
      <c r="B212" s="53">
        <v>16</v>
      </c>
      <c r="C212" s="54" t="s">
        <v>52</v>
      </c>
      <c r="D212" s="55" t="s">
        <v>409</v>
      </c>
      <c r="E212" s="56" t="s">
        <v>410</v>
      </c>
      <c r="F212" s="43">
        <v>27.082</v>
      </c>
      <c r="G212" s="57"/>
      <c r="H212" s="57"/>
      <c r="I212" s="58"/>
      <c r="J212" s="59">
        <f t="shared" si="55"/>
        <v>742.8502282779862</v>
      </c>
      <c r="K212" s="60">
        <v>0.9336178972540682</v>
      </c>
      <c r="L212" s="75">
        <v>1.021665938663767</v>
      </c>
      <c r="M212" s="63">
        <f t="shared" si="56"/>
        <v>18985.9</v>
      </c>
      <c r="N212" s="63">
        <f t="shared" si="57"/>
        <v>17220.2</v>
      </c>
      <c r="O212" s="62"/>
      <c r="P212" s="76"/>
      <c r="Q212" s="77"/>
      <c r="R212" s="76"/>
      <c r="S212" s="77"/>
      <c r="T212" s="64"/>
      <c r="U212" s="45">
        <f t="shared" si="58"/>
        <v>17220.2</v>
      </c>
      <c r="V212" s="65"/>
    </row>
    <row r="213" spans="1:22" s="129" customFormat="1" ht="12.75" hidden="1">
      <c r="A213" s="52" t="s">
        <v>55</v>
      </c>
      <c r="B213" s="53">
        <v>17</v>
      </c>
      <c r="C213" s="54" t="s">
        <v>52</v>
      </c>
      <c r="D213" s="55" t="s">
        <v>411</v>
      </c>
      <c r="E213" s="56" t="s">
        <v>412</v>
      </c>
      <c r="F213" s="43">
        <v>18.894</v>
      </c>
      <c r="G213" s="57"/>
      <c r="H213" s="57"/>
      <c r="I213" s="58"/>
      <c r="J213" s="59">
        <f t="shared" si="55"/>
        <v>742.8502282779862</v>
      </c>
      <c r="K213" s="60">
        <v>0.9336178972540682</v>
      </c>
      <c r="L213" s="75">
        <v>1.0387336312262039</v>
      </c>
      <c r="M213" s="63">
        <f t="shared" si="56"/>
        <v>13357.5</v>
      </c>
      <c r="N213" s="63">
        <f t="shared" si="57"/>
        <v>12115.3</v>
      </c>
      <c r="O213" s="62"/>
      <c r="P213" s="76"/>
      <c r="Q213" s="77"/>
      <c r="R213" s="76"/>
      <c r="S213" s="77"/>
      <c r="T213" s="64">
        <f>-ROUND(N213,1)</f>
        <v>-12115.3</v>
      </c>
      <c r="U213" s="45">
        <f t="shared" si="58"/>
        <v>0</v>
      </c>
      <c r="V213" s="65"/>
    </row>
    <row r="214" spans="1:22" ht="12.75" hidden="1">
      <c r="A214" s="52" t="s">
        <v>55</v>
      </c>
      <c r="B214" s="53">
        <v>18</v>
      </c>
      <c r="C214" s="54" t="s">
        <v>52</v>
      </c>
      <c r="D214" s="55" t="s">
        <v>413</v>
      </c>
      <c r="E214" s="56" t="s">
        <v>414</v>
      </c>
      <c r="F214" s="43">
        <v>0</v>
      </c>
      <c r="G214" s="57"/>
      <c r="H214" s="57"/>
      <c r="I214" s="58"/>
      <c r="J214" s="59">
        <f t="shared" si="55"/>
        <v>742.8502282779862</v>
      </c>
      <c r="K214" s="60">
        <v>0.9336178972540682</v>
      </c>
      <c r="L214" s="75">
        <v>1.0604654888030915</v>
      </c>
      <c r="M214" s="63">
        <f t="shared" si="56"/>
        <v>0</v>
      </c>
      <c r="N214" s="63">
        <f t="shared" si="57"/>
        <v>0</v>
      </c>
      <c r="O214" s="62"/>
      <c r="P214" s="76"/>
      <c r="Q214" s="77"/>
      <c r="R214" s="76"/>
      <c r="S214" s="77"/>
      <c r="T214" s="64"/>
      <c r="U214" s="45">
        <f t="shared" si="58"/>
        <v>0</v>
      </c>
      <c r="V214" s="65"/>
    </row>
    <row r="215" spans="1:22" ht="12.75" hidden="1">
      <c r="A215" s="52" t="s">
        <v>55</v>
      </c>
      <c r="B215" s="53">
        <v>19</v>
      </c>
      <c r="C215" s="54" t="s">
        <v>52</v>
      </c>
      <c r="D215" s="55" t="s">
        <v>415</v>
      </c>
      <c r="E215" s="56" t="s">
        <v>416</v>
      </c>
      <c r="F215" s="43">
        <v>45.768</v>
      </c>
      <c r="G215" s="57"/>
      <c r="H215" s="57"/>
      <c r="I215" s="58"/>
      <c r="J215" s="59">
        <f t="shared" si="55"/>
        <v>742.8502282779862</v>
      </c>
      <c r="K215" s="60">
        <v>0.9336178972540682</v>
      </c>
      <c r="L215" s="75">
        <v>0.9989614506666395</v>
      </c>
      <c r="M215" s="63">
        <f t="shared" si="56"/>
        <v>31725.4</v>
      </c>
      <c r="N215" s="63">
        <f t="shared" si="57"/>
        <v>28774.9</v>
      </c>
      <c r="O215" s="62"/>
      <c r="P215" s="76"/>
      <c r="Q215" s="77"/>
      <c r="R215" s="76"/>
      <c r="S215" s="77"/>
      <c r="T215" s="64"/>
      <c r="U215" s="45">
        <f t="shared" si="58"/>
        <v>28774.9</v>
      </c>
      <c r="V215" s="65"/>
    </row>
    <row r="216" spans="1:22" ht="12.75" hidden="1">
      <c r="A216" s="52" t="s">
        <v>55</v>
      </c>
      <c r="B216" s="53">
        <v>20</v>
      </c>
      <c r="C216" s="54" t="s">
        <v>52</v>
      </c>
      <c r="D216" s="55" t="s">
        <v>417</v>
      </c>
      <c r="E216" s="56" t="s">
        <v>418</v>
      </c>
      <c r="F216" s="43">
        <v>56.819</v>
      </c>
      <c r="G216" s="57"/>
      <c r="H216" s="57"/>
      <c r="I216" s="58"/>
      <c r="J216" s="59">
        <f t="shared" si="55"/>
        <v>742.8502282779862</v>
      </c>
      <c r="K216" s="60">
        <v>0.9336178972540682</v>
      </c>
      <c r="L216" s="75">
        <v>1.0490420443175867</v>
      </c>
      <c r="M216" s="63">
        <f t="shared" si="56"/>
        <v>40372.4</v>
      </c>
      <c r="N216" s="63">
        <f t="shared" si="57"/>
        <v>36617.8</v>
      </c>
      <c r="O216" s="62"/>
      <c r="P216" s="76"/>
      <c r="Q216" s="77"/>
      <c r="R216" s="76"/>
      <c r="S216" s="77"/>
      <c r="T216" s="64"/>
      <c r="U216" s="45">
        <f t="shared" si="58"/>
        <v>36617.8</v>
      </c>
      <c r="V216" s="65"/>
    </row>
    <row r="217" spans="1:22" ht="12.75" hidden="1">
      <c r="A217" s="52" t="s">
        <v>55</v>
      </c>
      <c r="B217" s="53">
        <v>21</v>
      </c>
      <c r="C217" s="54" t="s">
        <v>52</v>
      </c>
      <c r="D217" s="55" t="s">
        <v>419</v>
      </c>
      <c r="E217" s="56" t="s">
        <v>420</v>
      </c>
      <c r="F217" s="43">
        <v>41.796</v>
      </c>
      <c r="G217" s="57"/>
      <c r="H217" s="57"/>
      <c r="I217" s="58"/>
      <c r="J217" s="59">
        <f t="shared" si="55"/>
        <v>742.8502282779862</v>
      </c>
      <c r="K217" s="60">
        <v>0.9336178972540682</v>
      </c>
      <c r="L217" s="75">
        <v>0.9578560073201048</v>
      </c>
      <c r="M217" s="63">
        <f t="shared" si="56"/>
        <v>28376.3</v>
      </c>
      <c r="N217" s="63">
        <f t="shared" si="57"/>
        <v>25737.3</v>
      </c>
      <c r="O217" s="62"/>
      <c r="P217" s="76"/>
      <c r="Q217" s="77"/>
      <c r="R217" s="76"/>
      <c r="S217" s="77"/>
      <c r="T217" s="64"/>
      <c r="U217" s="45">
        <f t="shared" si="58"/>
        <v>25737.3</v>
      </c>
      <c r="V217" s="65"/>
    </row>
    <row r="218" spans="1:22" ht="12.75" hidden="1">
      <c r="A218" s="52" t="s">
        <v>55</v>
      </c>
      <c r="B218" s="53">
        <v>22</v>
      </c>
      <c r="C218" s="54" t="s">
        <v>52</v>
      </c>
      <c r="D218" s="55" t="s">
        <v>421</v>
      </c>
      <c r="E218" s="56" t="s">
        <v>422</v>
      </c>
      <c r="F218" s="43">
        <v>31.958</v>
      </c>
      <c r="G218" s="57"/>
      <c r="H218" s="57"/>
      <c r="I218" s="58"/>
      <c r="J218" s="59">
        <f t="shared" si="55"/>
        <v>742.8502282779862</v>
      </c>
      <c r="K218" s="60">
        <v>0.9336178972540682</v>
      </c>
      <c r="L218" s="75">
        <v>1.048146615817644</v>
      </c>
      <c r="M218" s="63">
        <f t="shared" si="56"/>
        <v>22697.7</v>
      </c>
      <c r="N218" s="63">
        <f t="shared" si="57"/>
        <v>20586.8</v>
      </c>
      <c r="O218" s="62"/>
      <c r="P218" s="76"/>
      <c r="Q218" s="77"/>
      <c r="R218" s="76"/>
      <c r="S218" s="77"/>
      <c r="T218" s="64"/>
      <c r="U218" s="45">
        <f t="shared" si="58"/>
        <v>20586.8</v>
      </c>
      <c r="V218" s="65"/>
    </row>
    <row r="219" spans="1:22" ht="12.75" hidden="1">
      <c r="A219" s="52" t="s">
        <v>55</v>
      </c>
      <c r="B219" s="53">
        <v>23</v>
      </c>
      <c r="C219" s="54" t="s">
        <v>52</v>
      </c>
      <c r="D219" s="55" t="s">
        <v>423</v>
      </c>
      <c r="E219" s="56" t="s">
        <v>424</v>
      </c>
      <c r="F219" s="43">
        <v>31.416</v>
      </c>
      <c r="G219" s="57"/>
      <c r="H219" s="57"/>
      <c r="I219" s="58"/>
      <c r="J219" s="59">
        <f t="shared" si="55"/>
        <v>742.8502282779862</v>
      </c>
      <c r="K219" s="60">
        <v>0.9336178972540682</v>
      </c>
      <c r="L219" s="75">
        <v>1.0313488551775953</v>
      </c>
      <c r="M219" s="63">
        <f t="shared" si="56"/>
        <v>22129.7</v>
      </c>
      <c r="N219" s="63">
        <f t="shared" si="57"/>
        <v>20071.6</v>
      </c>
      <c r="O219" s="62"/>
      <c r="P219" s="76"/>
      <c r="Q219" s="77"/>
      <c r="R219" s="76"/>
      <c r="S219" s="77"/>
      <c r="T219" s="64"/>
      <c r="U219" s="45">
        <f t="shared" si="58"/>
        <v>20071.6</v>
      </c>
      <c r="V219" s="65"/>
    </row>
    <row r="220" spans="1:22" ht="12.75" hidden="1">
      <c r="A220" s="52" t="s">
        <v>55</v>
      </c>
      <c r="B220" s="53">
        <v>24</v>
      </c>
      <c r="C220" s="54" t="s">
        <v>52</v>
      </c>
      <c r="D220" s="55" t="s">
        <v>425</v>
      </c>
      <c r="E220" s="56" t="s">
        <v>426</v>
      </c>
      <c r="F220" s="43">
        <v>27.217</v>
      </c>
      <c r="G220" s="57"/>
      <c r="H220" s="57"/>
      <c r="I220" s="58"/>
      <c r="J220" s="59">
        <f t="shared" si="55"/>
        <v>742.8502282779862</v>
      </c>
      <c r="K220" s="60">
        <v>0.9336178972540682</v>
      </c>
      <c r="L220" s="75">
        <v>1.0877031588029527</v>
      </c>
      <c r="M220" s="63">
        <f t="shared" si="56"/>
        <v>19703.8</v>
      </c>
      <c r="N220" s="63">
        <f t="shared" si="57"/>
        <v>17871.3</v>
      </c>
      <c r="O220" s="62"/>
      <c r="P220" s="76"/>
      <c r="Q220" s="77"/>
      <c r="R220" s="76"/>
      <c r="S220" s="77"/>
      <c r="T220" s="64"/>
      <c r="U220" s="45">
        <f t="shared" si="58"/>
        <v>17871.3</v>
      </c>
      <c r="V220" s="65"/>
    </row>
    <row r="221" spans="1:22" ht="25.5" hidden="1">
      <c r="A221" s="52" t="s">
        <v>55</v>
      </c>
      <c r="B221" s="53">
        <v>25</v>
      </c>
      <c r="C221" s="54" t="s">
        <v>52</v>
      </c>
      <c r="D221" s="55" t="s">
        <v>427</v>
      </c>
      <c r="E221" s="56" t="s">
        <v>428</v>
      </c>
      <c r="F221" s="43">
        <v>23.028</v>
      </c>
      <c r="G221" s="57"/>
      <c r="H221" s="57"/>
      <c r="I221" s="58"/>
      <c r="J221" s="59">
        <f t="shared" si="55"/>
        <v>742.8502282779862</v>
      </c>
      <c r="K221" s="60">
        <v>0.9336178972540682</v>
      </c>
      <c r="L221" s="75">
        <v>0.9823029562373088</v>
      </c>
      <c r="M221" s="63">
        <f t="shared" si="56"/>
        <v>15829.5</v>
      </c>
      <c r="N221" s="63">
        <f t="shared" si="57"/>
        <v>14357.4</v>
      </c>
      <c r="O221" s="62"/>
      <c r="P221" s="76"/>
      <c r="Q221" s="77"/>
      <c r="R221" s="76"/>
      <c r="S221" s="77"/>
      <c r="T221" s="64"/>
      <c r="U221" s="45">
        <f t="shared" si="58"/>
        <v>14357.4</v>
      </c>
      <c r="V221" s="65"/>
    </row>
    <row r="222" spans="1:22" ht="12.75" hidden="1">
      <c r="A222" s="52" t="s">
        <v>55</v>
      </c>
      <c r="B222" s="53">
        <v>26</v>
      </c>
      <c r="C222" s="54" t="s">
        <v>52</v>
      </c>
      <c r="D222" s="55" t="s">
        <v>429</v>
      </c>
      <c r="E222" s="56" t="s">
        <v>430</v>
      </c>
      <c r="F222" s="43">
        <v>26.322</v>
      </c>
      <c r="G222" s="57"/>
      <c r="H222" s="57"/>
      <c r="I222" s="58"/>
      <c r="J222" s="59">
        <f t="shared" si="55"/>
        <v>742.8502282779862</v>
      </c>
      <c r="K222" s="60">
        <v>0.9336178972540682</v>
      </c>
      <c r="L222" s="75">
        <v>1.0137741380727117</v>
      </c>
      <c r="M222" s="63">
        <f t="shared" si="56"/>
        <v>18381</v>
      </c>
      <c r="N222" s="63">
        <f t="shared" si="57"/>
        <v>16671.6</v>
      </c>
      <c r="O222" s="62"/>
      <c r="P222" s="76"/>
      <c r="Q222" s="77"/>
      <c r="R222" s="76"/>
      <c r="S222" s="77"/>
      <c r="T222" s="64"/>
      <c r="U222" s="45">
        <f t="shared" si="58"/>
        <v>16671.6</v>
      </c>
      <c r="V222" s="65"/>
    </row>
    <row r="223" spans="1:22" ht="12.75" hidden="1">
      <c r="A223" s="52" t="s">
        <v>55</v>
      </c>
      <c r="B223" s="53">
        <v>27</v>
      </c>
      <c r="C223" s="54" t="s">
        <v>52</v>
      </c>
      <c r="D223" s="55" t="s">
        <v>431</v>
      </c>
      <c r="E223" s="56" t="s">
        <v>432</v>
      </c>
      <c r="F223" s="43">
        <v>35.551</v>
      </c>
      <c r="G223" s="57"/>
      <c r="H223" s="57"/>
      <c r="I223" s="58"/>
      <c r="J223" s="59">
        <f t="shared" si="55"/>
        <v>742.8502282779862</v>
      </c>
      <c r="K223" s="60">
        <v>0.9336178972540682</v>
      </c>
      <c r="L223" s="75">
        <v>1.0466909204121935</v>
      </c>
      <c r="M223" s="63">
        <f t="shared" si="56"/>
        <v>25231.6</v>
      </c>
      <c r="N223" s="63">
        <f t="shared" si="57"/>
        <v>22885.1</v>
      </c>
      <c r="O223" s="62"/>
      <c r="P223" s="76"/>
      <c r="Q223" s="77"/>
      <c r="R223" s="76"/>
      <c r="S223" s="77"/>
      <c r="T223" s="64"/>
      <c r="U223" s="45">
        <f t="shared" si="58"/>
        <v>22885.1</v>
      </c>
      <c r="V223" s="65"/>
    </row>
    <row r="224" spans="1:22" ht="25.5" hidden="1">
      <c r="A224" s="38" t="s">
        <v>55</v>
      </c>
      <c r="B224" s="39" t="s">
        <v>26</v>
      </c>
      <c r="C224" s="40" t="s">
        <v>111</v>
      </c>
      <c r="D224" s="41"/>
      <c r="E224" s="79" t="s">
        <v>112</v>
      </c>
      <c r="F224" s="43">
        <f>SUM(F225:F233)</f>
        <v>51.455000000000005</v>
      </c>
      <c r="G224" s="83">
        <f>SUM(G225:G233)</f>
        <v>0</v>
      </c>
      <c r="H224" s="83">
        <f>SUM(H225:H233)</f>
        <v>0</v>
      </c>
      <c r="I224" s="122"/>
      <c r="J224" s="123"/>
      <c r="K224" s="122"/>
      <c r="L224" s="84">
        <v>0</v>
      </c>
      <c r="M224" s="124">
        <f aca="true" t="shared" si="59" ref="M224:U224">SUM(M225:M233)</f>
        <v>36070.3</v>
      </c>
      <c r="N224" s="124">
        <f t="shared" si="59"/>
        <v>32715.7</v>
      </c>
      <c r="O224" s="124">
        <f t="shared" si="59"/>
        <v>0</v>
      </c>
      <c r="P224" s="124">
        <f t="shared" si="59"/>
        <v>0</v>
      </c>
      <c r="Q224" s="124">
        <f t="shared" si="59"/>
        <v>0</v>
      </c>
      <c r="R224" s="124">
        <f t="shared" si="59"/>
        <v>0</v>
      </c>
      <c r="S224" s="124">
        <f t="shared" si="59"/>
        <v>0</v>
      </c>
      <c r="T224" s="124">
        <f t="shared" si="59"/>
        <v>0</v>
      </c>
      <c r="U224" s="124">
        <f t="shared" si="59"/>
        <v>32715.7</v>
      </c>
      <c r="V224" s="125"/>
    </row>
    <row r="225" spans="1:22" s="139" customFormat="1" ht="26.25" hidden="1">
      <c r="A225" s="138" t="s">
        <v>55</v>
      </c>
      <c r="B225" s="87">
        <v>28</v>
      </c>
      <c r="C225" s="88" t="s">
        <v>113</v>
      </c>
      <c r="D225" s="89" t="s">
        <v>433</v>
      </c>
      <c r="E225" s="56" t="s">
        <v>434</v>
      </c>
      <c r="F225" s="43">
        <v>2.534</v>
      </c>
      <c r="G225" s="83"/>
      <c r="H225" s="83"/>
      <c r="I225" s="122"/>
      <c r="J225" s="123">
        <f aca="true" t="shared" si="60" ref="J225:J233">+($F$7-$O$952-$Q$952-$P$952-$R$952-$S$952)/($F$952-$G$952*1-$H$952*0.5)*0.646*1.0268514</f>
        <v>742.8502282779862</v>
      </c>
      <c r="K225" s="122">
        <v>0.9336178972540682</v>
      </c>
      <c r="L225" s="75">
        <v>1.0137741380727117</v>
      </c>
      <c r="M225" s="63">
        <f aca="true" t="shared" si="61" ref="M225:M233">ROUND(J225*(F225-G225-H225*I225)*K225*(0.5+0.5*L225),1)</f>
        <v>1769.5</v>
      </c>
      <c r="N225" s="132">
        <f aca="true" t="shared" si="62" ref="N225:N233">ROUND(M225*0.907,1)</f>
        <v>1604.9</v>
      </c>
      <c r="O225" s="131"/>
      <c r="P225" s="131"/>
      <c r="Q225" s="132"/>
      <c r="R225" s="131"/>
      <c r="S225" s="132"/>
      <c r="T225" s="133"/>
      <c r="U225" s="134">
        <f aca="true" t="shared" si="63" ref="U225:U233">+N225+O225+T225+R225+S225+Q225</f>
        <v>1604.9</v>
      </c>
      <c r="V225" s="135"/>
    </row>
    <row r="226" spans="1:22" s="139" customFormat="1" ht="26.25" hidden="1">
      <c r="A226" s="138" t="s">
        <v>55</v>
      </c>
      <c r="B226" s="87">
        <v>29</v>
      </c>
      <c r="C226" s="88" t="s">
        <v>113</v>
      </c>
      <c r="D226" s="89" t="s">
        <v>435</v>
      </c>
      <c r="E226" s="56" t="s">
        <v>436</v>
      </c>
      <c r="F226" s="43">
        <v>2.993</v>
      </c>
      <c r="G226" s="83"/>
      <c r="H226" s="83"/>
      <c r="I226" s="122"/>
      <c r="J226" s="123">
        <f t="shared" si="60"/>
        <v>742.8502282779862</v>
      </c>
      <c r="K226" s="122">
        <v>0.9336178972540682</v>
      </c>
      <c r="L226" s="75">
        <v>1.0313488551775953</v>
      </c>
      <c r="M226" s="63">
        <f t="shared" si="61"/>
        <v>2108.3</v>
      </c>
      <c r="N226" s="132">
        <f t="shared" si="62"/>
        <v>1912.2</v>
      </c>
      <c r="O226" s="131"/>
      <c r="P226" s="131"/>
      <c r="Q226" s="132"/>
      <c r="R226" s="131"/>
      <c r="S226" s="132"/>
      <c r="T226" s="133"/>
      <c r="U226" s="134">
        <f t="shared" si="63"/>
        <v>1912.2</v>
      </c>
      <c r="V226" s="135"/>
    </row>
    <row r="227" spans="1:22" s="139" customFormat="1" ht="26.25" hidden="1">
      <c r="A227" s="138" t="s">
        <v>55</v>
      </c>
      <c r="B227" s="87">
        <v>30</v>
      </c>
      <c r="C227" s="88" t="s">
        <v>113</v>
      </c>
      <c r="D227" s="89" t="s">
        <v>437</v>
      </c>
      <c r="E227" s="56" t="s">
        <v>438</v>
      </c>
      <c r="F227" s="43">
        <v>4.089</v>
      </c>
      <c r="G227" s="83"/>
      <c r="H227" s="83"/>
      <c r="I227" s="122"/>
      <c r="J227" s="123">
        <f t="shared" si="60"/>
        <v>742.8502282779862</v>
      </c>
      <c r="K227" s="122">
        <v>0.9336178972540682</v>
      </c>
      <c r="L227" s="75">
        <v>1.014208866764496</v>
      </c>
      <c r="M227" s="63">
        <f t="shared" si="61"/>
        <v>2856</v>
      </c>
      <c r="N227" s="132">
        <f t="shared" si="62"/>
        <v>2590.4</v>
      </c>
      <c r="O227" s="131"/>
      <c r="P227" s="131"/>
      <c r="Q227" s="132"/>
      <c r="R227" s="131"/>
      <c r="S227" s="132"/>
      <c r="T227" s="133"/>
      <c r="U227" s="134">
        <f t="shared" si="63"/>
        <v>2590.4</v>
      </c>
      <c r="V227" s="135"/>
    </row>
    <row r="228" spans="1:22" ht="38.25" hidden="1">
      <c r="A228" s="52" t="s">
        <v>55</v>
      </c>
      <c r="B228" s="53">
        <v>31</v>
      </c>
      <c r="C228" s="54" t="s">
        <v>113</v>
      </c>
      <c r="D228" s="41" t="s">
        <v>439</v>
      </c>
      <c r="E228" s="56" t="s">
        <v>440</v>
      </c>
      <c r="F228" s="43">
        <v>7.573</v>
      </c>
      <c r="G228" s="57"/>
      <c r="H228" s="57"/>
      <c r="I228" s="58"/>
      <c r="J228" s="59">
        <f t="shared" si="60"/>
        <v>742.8502282779862</v>
      </c>
      <c r="K228" s="60">
        <v>0.9336178972540682</v>
      </c>
      <c r="L228" s="75">
        <v>0.9931743773839272</v>
      </c>
      <c r="M228" s="63">
        <f t="shared" si="61"/>
        <v>5234.2</v>
      </c>
      <c r="N228" s="132">
        <f t="shared" si="62"/>
        <v>4747.4</v>
      </c>
      <c r="O228" s="62"/>
      <c r="P228" s="76"/>
      <c r="Q228" s="77"/>
      <c r="R228" s="76"/>
      <c r="S228" s="77"/>
      <c r="T228" s="64"/>
      <c r="U228" s="45">
        <f t="shared" si="63"/>
        <v>4747.4</v>
      </c>
      <c r="V228" s="65"/>
    </row>
    <row r="229" spans="1:22" s="82" customFormat="1" ht="26.25" hidden="1">
      <c r="A229" s="52" t="s">
        <v>55</v>
      </c>
      <c r="B229" s="53">
        <v>32</v>
      </c>
      <c r="C229" s="54" t="s">
        <v>113</v>
      </c>
      <c r="D229" s="41" t="s">
        <v>441</v>
      </c>
      <c r="E229" s="56" t="s">
        <v>442</v>
      </c>
      <c r="F229" s="43">
        <v>9.397</v>
      </c>
      <c r="G229" s="57"/>
      <c r="H229" s="57"/>
      <c r="I229" s="58"/>
      <c r="J229" s="59">
        <f t="shared" si="60"/>
        <v>742.8502282779862</v>
      </c>
      <c r="K229" s="60">
        <v>0.9336178972540682</v>
      </c>
      <c r="L229" s="75">
        <v>1.0604654888030915</v>
      </c>
      <c r="M229" s="63">
        <f t="shared" si="61"/>
        <v>6714.2</v>
      </c>
      <c r="N229" s="132">
        <f t="shared" si="62"/>
        <v>6089.8</v>
      </c>
      <c r="O229" s="62"/>
      <c r="P229" s="76"/>
      <c r="Q229" s="77"/>
      <c r="R229" s="76"/>
      <c r="S229" s="77"/>
      <c r="T229" s="64"/>
      <c r="U229" s="45">
        <f t="shared" si="63"/>
        <v>6089.8</v>
      </c>
      <c r="V229" s="65"/>
    </row>
    <row r="230" spans="1:22" s="82" customFormat="1" ht="39" hidden="1">
      <c r="A230" s="52" t="s">
        <v>55</v>
      </c>
      <c r="B230" s="53">
        <v>33</v>
      </c>
      <c r="C230" s="54" t="s">
        <v>113</v>
      </c>
      <c r="D230" s="41" t="s">
        <v>443</v>
      </c>
      <c r="E230" s="56" t="s">
        <v>444</v>
      </c>
      <c r="F230" s="43">
        <v>8.741</v>
      </c>
      <c r="G230" s="57"/>
      <c r="H230" s="57"/>
      <c r="I230" s="58"/>
      <c r="J230" s="59">
        <f t="shared" si="60"/>
        <v>742.8502282779862</v>
      </c>
      <c r="K230" s="60">
        <v>0.9336178972540682</v>
      </c>
      <c r="L230" s="75">
        <v>0.9931743773839272</v>
      </c>
      <c r="M230" s="63">
        <f t="shared" si="61"/>
        <v>6041.5</v>
      </c>
      <c r="N230" s="132">
        <f t="shared" si="62"/>
        <v>5479.6</v>
      </c>
      <c r="O230" s="62"/>
      <c r="P230" s="76"/>
      <c r="Q230" s="77"/>
      <c r="R230" s="76"/>
      <c r="S230" s="77"/>
      <c r="T230" s="64"/>
      <c r="U230" s="45">
        <f t="shared" si="63"/>
        <v>5479.6</v>
      </c>
      <c r="V230" s="65"/>
    </row>
    <row r="231" spans="1:22" s="129" customFormat="1" ht="25.5" hidden="1">
      <c r="A231" s="52" t="s">
        <v>55</v>
      </c>
      <c r="B231" s="53">
        <v>34</v>
      </c>
      <c r="C231" s="54" t="s">
        <v>113</v>
      </c>
      <c r="D231" s="41" t="s">
        <v>445</v>
      </c>
      <c r="E231" s="90" t="s">
        <v>446</v>
      </c>
      <c r="F231" s="43">
        <v>3.719</v>
      </c>
      <c r="G231" s="57"/>
      <c r="H231" s="57"/>
      <c r="I231" s="58"/>
      <c r="J231" s="59">
        <f t="shared" si="60"/>
        <v>742.8502282779862</v>
      </c>
      <c r="K231" s="60">
        <v>0.9336178972540682</v>
      </c>
      <c r="L231" s="75">
        <v>1.0313488551775953</v>
      </c>
      <c r="M231" s="63">
        <f t="shared" si="61"/>
        <v>2619.7</v>
      </c>
      <c r="N231" s="132">
        <f t="shared" si="62"/>
        <v>2376.1</v>
      </c>
      <c r="O231" s="62"/>
      <c r="P231" s="76"/>
      <c r="Q231" s="77"/>
      <c r="R231" s="76"/>
      <c r="S231" s="77"/>
      <c r="T231" s="64"/>
      <c r="U231" s="45">
        <f t="shared" si="63"/>
        <v>2376.1</v>
      </c>
      <c r="V231" s="65"/>
    </row>
    <row r="232" spans="1:22" s="129" customFormat="1" ht="25.5" hidden="1">
      <c r="A232" s="52" t="s">
        <v>55</v>
      </c>
      <c r="B232" s="53">
        <v>35</v>
      </c>
      <c r="C232" s="54" t="s">
        <v>113</v>
      </c>
      <c r="D232" s="140" t="s">
        <v>447</v>
      </c>
      <c r="E232" s="90" t="s">
        <v>448</v>
      </c>
      <c r="F232" s="43">
        <v>6.581</v>
      </c>
      <c r="G232" s="57"/>
      <c r="H232" s="57"/>
      <c r="I232" s="58"/>
      <c r="J232" s="59">
        <f t="shared" si="60"/>
        <v>742.8502282779862</v>
      </c>
      <c r="K232" s="60">
        <v>0.9336178972540682</v>
      </c>
      <c r="L232" s="75">
        <v>1.0108854501285984</v>
      </c>
      <c r="M232" s="63">
        <f t="shared" si="61"/>
        <v>4589</v>
      </c>
      <c r="N232" s="132">
        <f t="shared" si="62"/>
        <v>4162.2</v>
      </c>
      <c r="O232" s="62"/>
      <c r="P232" s="76"/>
      <c r="Q232" s="77"/>
      <c r="R232" s="76"/>
      <c r="S232" s="77"/>
      <c r="T232" s="64"/>
      <c r="U232" s="45">
        <f t="shared" si="63"/>
        <v>4162.2</v>
      </c>
      <c r="V232" s="65"/>
    </row>
    <row r="233" spans="1:22" s="129" customFormat="1" ht="25.5" hidden="1">
      <c r="A233" s="52" t="s">
        <v>55</v>
      </c>
      <c r="B233" s="53">
        <v>36</v>
      </c>
      <c r="C233" s="54" t="s">
        <v>113</v>
      </c>
      <c r="D233" s="140" t="s">
        <v>449</v>
      </c>
      <c r="E233" s="56" t="s">
        <v>450</v>
      </c>
      <c r="F233" s="43">
        <v>5.828</v>
      </c>
      <c r="G233" s="57"/>
      <c r="H233" s="57"/>
      <c r="I233" s="58"/>
      <c r="J233" s="59">
        <f t="shared" si="60"/>
        <v>742.8502282779862</v>
      </c>
      <c r="K233" s="60">
        <v>0.9336178972540682</v>
      </c>
      <c r="L233" s="75">
        <v>1.047472615932231</v>
      </c>
      <c r="M233" s="63">
        <f t="shared" si="61"/>
        <v>4137.9</v>
      </c>
      <c r="N233" s="132">
        <f t="shared" si="62"/>
        <v>3753.1</v>
      </c>
      <c r="O233" s="62"/>
      <c r="P233" s="76"/>
      <c r="Q233" s="77"/>
      <c r="R233" s="76"/>
      <c r="S233" s="77"/>
      <c r="T233" s="64"/>
      <c r="U233" s="45">
        <f t="shared" si="63"/>
        <v>3753.1</v>
      </c>
      <c r="V233" s="65"/>
    </row>
    <row r="234" spans="1:22" ht="25.5" hidden="1">
      <c r="A234" s="38" t="s">
        <v>58</v>
      </c>
      <c r="B234" s="39" t="s">
        <v>26</v>
      </c>
      <c r="C234" s="40" t="s">
        <v>27</v>
      </c>
      <c r="D234" s="41"/>
      <c r="E234" s="127" t="s">
        <v>451</v>
      </c>
      <c r="F234" s="43">
        <f>F235+F236+F242+F256</f>
        <v>1259.1580000000001</v>
      </c>
      <c r="G234" s="44">
        <f>+G235+G236+G242+G256</f>
        <v>0</v>
      </c>
      <c r="H234" s="44">
        <f>+H235+H236+H242+H256</f>
        <v>0</v>
      </c>
      <c r="I234" s="45"/>
      <c r="J234" s="46"/>
      <c r="K234" s="47"/>
      <c r="L234" s="48">
        <v>0.9428837301554365</v>
      </c>
      <c r="M234" s="49">
        <f aca="true" t="shared" si="64" ref="M234:U234">+M235+M236+M242+M256</f>
        <v>1334520.1</v>
      </c>
      <c r="N234" s="49">
        <f t="shared" si="64"/>
        <v>1334520.1</v>
      </c>
      <c r="O234" s="49">
        <f t="shared" si="64"/>
        <v>30993.4</v>
      </c>
      <c r="P234" s="49">
        <f t="shared" si="64"/>
        <v>69.2</v>
      </c>
      <c r="Q234" s="49">
        <f t="shared" si="64"/>
        <v>17775.5</v>
      </c>
      <c r="R234" s="49">
        <f t="shared" si="64"/>
        <v>52724.9</v>
      </c>
      <c r="S234" s="49">
        <f t="shared" si="64"/>
        <v>51</v>
      </c>
      <c r="T234" s="49">
        <f t="shared" si="64"/>
        <v>0</v>
      </c>
      <c r="U234" s="49">
        <f t="shared" si="64"/>
        <v>1436134.1</v>
      </c>
      <c r="V234" s="51"/>
    </row>
    <row r="235" spans="1:22" ht="12.75" hidden="1">
      <c r="A235" s="52" t="s">
        <v>58</v>
      </c>
      <c r="B235" s="53" t="s">
        <v>26</v>
      </c>
      <c r="C235" s="54" t="s">
        <v>29</v>
      </c>
      <c r="D235" s="41" t="s">
        <v>452</v>
      </c>
      <c r="E235" s="56" t="s">
        <v>31</v>
      </c>
      <c r="F235" s="43">
        <v>0</v>
      </c>
      <c r="G235" s="128"/>
      <c r="H235" s="128"/>
      <c r="I235" s="58"/>
      <c r="J235" s="59">
        <f>+($F$7-$O$952-$Q$952-$P$952-R$952-$S$952)/$F$952*0.354*0.951</f>
        <v>376.76602120660414</v>
      </c>
      <c r="K235" s="60">
        <v>0</v>
      </c>
      <c r="L235" s="48">
        <v>0.9428837301554365</v>
      </c>
      <c r="M235" s="49">
        <f>ROUND(J235*(F236+F242+F256)*(0.5+0.5*L235),1)</f>
        <v>460859.7</v>
      </c>
      <c r="N235" s="49">
        <f>M235+ROUND(SUM(M237:M241)*0.117+SUM(M243:M255)*0.093+SUM(M257:M258)*0.093,1)+0.1</f>
        <v>547029.2</v>
      </c>
      <c r="O235" s="62">
        <v>2214.1</v>
      </c>
      <c r="P235" s="62">
        <v>69.2</v>
      </c>
      <c r="Q235" s="63">
        <v>17775.5</v>
      </c>
      <c r="R235" s="62">
        <v>52724.9</v>
      </c>
      <c r="S235" s="63">
        <v>51</v>
      </c>
      <c r="T235" s="64"/>
      <c r="U235" s="45">
        <f>N235+O235+P235+Q235+R235+S235+T235</f>
        <v>619863.8999999999</v>
      </c>
      <c r="V235" s="65"/>
    </row>
    <row r="236" spans="1:22" ht="13.5" hidden="1">
      <c r="A236" s="38" t="s">
        <v>58</v>
      </c>
      <c r="B236" s="39" t="s">
        <v>26</v>
      </c>
      <c r="C236" s="40" t="s">
        <v>33</v>
      </c>
      <c r="D236" s="55"/>
      <c r="E236" s="79" t="s">
        <v>34</v>
      </c>
      <c r="F236" s="43">
        <f>SUM(F237:F241)</f>
        <v>266.45500000000004</v>
      </c>
      <c r="G236" s="67">
        <f>SUM(G237:G241)</f>
        <v>0</v>
      </c>
      <c r="H236" s="68">
        <f>SUM(H237:H241)</f>
        <v>0</v>
      </c>
      <c r="I236" s="69"/>
      <c r="J236" s="59"/>
      <c r="K236" s="70"/>
      <c r="L236" s="71">
        <v>0.9441110411106733</v>
      </c>
      <c r="M236" s="72">
        <f aca="true" t="shared" si="65" ref="M236:U236">SUM(M237:M241)</f>
        <v>204958.69999999998</v>
      </c>
      <c r="N236" s="72">
        <f t="shared" si="65"/>
        <v>180978.6</v>
      </c>
      <c r="O236" s="72">
        <f t="shared" si="65"/>
        <v>0</v>
      </c>
      <c r="P236" s="72">
        <f t="shared" si="65"/>
        <v>0</v>
      </c>
      <c r="Q236" s="72">
        <f t="shared" si="65"/>
        <v>0</v>
      </c>
      <c r="R236" s="72">
        <f t="shared" si="65"/>
        <v>0</v>
      </c>
      <c r="S236" s="72">
        <f t="shared" si="65"/>
        <v>0</v>
      </c>
      <c r="T236" s="72">
        <f t="shared" si="65"/>
        <v>-34133.3</v>
      </c>
      <c r="U236" s="72">
        <f t="shared" si="65"/>
        <v>146845.30000000002</v>
      </c>
      <c r="V236" s="73"/>
    </row>
    <row r="237" spans="1:22" ht="12.75" hidden="1">
      <c r="A237" s="52" t="s">
        <v>58</v>
      </c>
      <c r="B237" s="53" t="s">
        <v>35</v>
      </c>
      <c r="C237" s="54" t="s">
        <v>36</v>
      </c>
      <c r="D237" s="55" t="s">
        <v>453</v>
      </c>
      <c r="E237" s="74" t="s">
        <v>454</v>
      </c>
      <c r="F237" s="43">
        <v>115.163</v>
      </c>
      <c r="G237" s="57"/>
      <c r="H237" s="57"/>
      <c r="I237" s="58"/>
      <c r="J237" s="59">
        <f>+($F$7-$O$952-$Q$952-$P$952-$R$952-$S$952)/($F$952-$G$952*1-$H$952*0.5)*0.646*1.0268514</f>
        <v>742.8502282779862</v>
      </c>
      <c r="K237" s="60">
        <v>1.065228053001168</v>
      </c>
      <c r="L237" s="75">
        <v>0.9437704641208567</v>
      </c>
      <c r="M237" s="63">
        <f>ROUND(J237*(F237-G237-H237*I237)*K237*(0.5+0.5*L237),1)</f>
        <v>88567</v>
      </c>
      <c r="N237" s="63">
        <f>ROUND(M237*0.883,1)</f>
        <v>78204.7</v>
      </c>
      <c r="O237" s="62"/>
      <c r="P237" s="76"/>
      <c r="Q237" s="77"/>
      <c r="R237" s="76"/>
      <c r="S237" s="77"/>
      <c r="T237" s="64">
        <f>4200</f>
        <v>4200</v>
      </c>
      <c r="U237" s="45">
        <f>+N237+O237+T237+R237+S237+Q237</f>
        <v>82404.7</v>
      </c>
      <c r="V237" s="65"/>
    </row>
    <row r="238" spans="1:22" ht="12.75" hidden="1">
      <c r="A238" s="52" t="s">
        <v>58</v>
      </c>
      <c r="B238" s="53" t="s">
        <v>32</v>
      </c>
      <c r="C238" s="54" t="s">
        <v>36</v>
      </c>
      <c r="D238" s="55" t="s">
        <v>455</v>
      </c>
      <c r="E238" s="78" t="s">
        <v>456</v>
      </c>
      <c r="F238" s="43">
        <v>24.35</v>
      </c>
      <c r="G238" s="57"/>
      <c r="H238" s="57"/>
      <c r="I238" s="58"/>
      <c r="J238" s="59">
        <f>+($F$7-$O$952-$Q$952-$P$952-$R$952-$S$952)/($F$952-$G$952*1-$H$952*0.5)*0.646*1.0268514</f>
        <v>742.8502282779862</v>
      </c>
      <c r="K238" s="60">
        <v>1.065228053001168</v>
      </c>
      <c r="L238" s="75">
        <v>0.9554754712330189</v>
      </c>
      <c r="M238" s="63">
        <f>ROUND(J238*(F238-G238-H238*I238)*K238*(0.5+0.5*L238),1)</f>
        <v>18839.3</v>
      </c>
      <c r="N238" s="63">
        <f>ROUND(M238*0.883,1)</f>
        <v>16635.1</v>
      </c>
      <c r="O238" s="62"/>
      <c r="P238" s="76"/>
      <c r="Q238" s="77"/>
      <c r="R238" s="76"/>
      <c r="S238" s="77"/>
      <c r="T238" s="64">
        <f>-ROUND(N238,1)</f>
        <v>-16635.1</v>
      </c>
      <c r="U238" s="45">
        <f>+N238+O238+T238+R238+S238+Q238</f>
        <v>0</v>
      </c>
      <c r="V238" s="65"/>
    </row>
    <row r="239" spans="1:22" s="82" customFormat="1" ht="13.5" hidden="1">
      <c r="A239" s="52" t="s">
        <v>58</v>
      </c>
      <c r="B239" s="53" t="s">
        <v>118</v>
      </c>
      <c r="C239" s="54" t="s">
        <v>36</v>
      </c>
      <c r="D239" s="55" t="s">
        <v>457</v>
      </c>
      <c r="E239" s="78" t="s">
        <v>458</v>
      </c>
      <c r="F239" s="43">
        <v>86.339</v>
      </c>
      <c r="G239" s="57"/>
      <c r="H239" s="57"/>
      <c r="I239" s="58"/>
      <c r="J239" s="59">
        <f>+($F$7-$O$952-$Q$952-$P$952-$R$952-$S$952)/($F$952-$G$952*1-$H$952*0.5)*0.646*1.0268514</f>
        <v>742.8502282779862</v>
      </c>
      <c r="K239" s="60">
        <v>1.065228053001168</v>
      </c>
      <c r="L239" s="75">
        <v>0.9367110171851825</v>
      </c>
      <c r="M239" s="63">
        <f>ROUND(J239*(F239-G239-H239*I239)*K239*(0.5+0.5*L239),1)</f>
        <v>66158.5</v>
      </c>
      <c r="N239" s="63">
        <f>ROUND(M239*0.883,1)</f>
        <v>58418</v>
      </c>
      <c r="O239" s="62"/>
      <c r="P239" s="76"/>
      <c r="Q239" s="77"/>
      <c r="R239" s="76"/>
      <c r="S239" s="77"/>
      <c r="T239" s="64"/>
      <c r="U239" s="45">
        <f>+N239+O239+T239+R239+S239+Q239</f>
        <v>58418</v>
      </c>
      <c r="V239" s="65"/>
    </row>
    <row r="240" spans="1:22" s="129" customFormat="1" ht="12.75" hidden="1">
      <c r="A240" s="52" t="s">
        <v>58</v>
      </c>
      <c r="B240" s="53" t="s">
        <v>127</v>
      </c>
      <c r="C240" s="54" t="s">
        <v>36</v>
      </c>
      <c r="D240" s="55" t="s">
        <v>459</v>
      </c>
      <c r="E240" s="78" t="s">
        <v>460</v>
      </c>
      <c r="F240" s="43">
        <v>31.666</v>
      </c>
      <c r="G240" s="57"/>
      <c r="H240" s="57"/>
      <c r="I240" s="58"/>
      <c r="J240" s="59">
        <f>+($F$7-$O$952-$Q$952-$P$952-$R$952-$S$952)/($F$952-$G$952*1-$H$952*0.5)*0.646*1.0268514</f>
        <v>742.8502282779862</v>
      </c>
      <c r="K240" s="60">
        <v>1.065228053001168</v>
      </c>
      <c r="L240" s="75">
        <v>0.9613556408025751</v>
      </c>
      <c r="M240" s="63">
        <f>ROUND(J240*(F240-G240-H240*I240)*K240*(0.5+0.5*L240),1)</f>
        <v>24573.3</v>
      </c>
      <c r="N240" s="63">
        <f>ROUND(M240*0.883,1)</f>
        <v>21698.2</v>
      </c>
      <c r="O240" s="62"/>
      <c r="P240" s="76"/>
      <c r="Q240" s="77"/>
      <c r="R240" s="76"/>
      <c r="S240" s="77"/>
      <c r="T240" s="64">
        <f>-ROUND(N240,1)</f>
        <v>-21698.2</v>
      </c>
      <c r="U240" s="45">
        <f>+N240+O240+T240+R240+S240+Q240</f>
        <v>0</v>
      </c>
      <c r="V240" s="65"/>
    </row>
    <row r="241" spans="1:22" ht="12.75" hidden="1">
      <c r="A241" s="52" t="s">
        <v>58</v>
      </c>
      <c r="B241" s="53" t="s">
        <v>51</v>
      </c>
      <c r="C241" s="54" t="s">
        <v>36</v>
      </c>
      <c r="D241" s="55" t="s">
        <v>461</v>
      </c>
      <c r="E241" s="78" t="s">
        <v>462</v>
      </c>
      <c r="F241" s="43">
        <v>8.937</v>
      </c>
      <c r="G241" s="57"/>
      <c r="H241" s="57"/>
      <c r="I241" s="58"/>
      <c r="J241" s="59">
        <f>+($F$7-$O$952-$Q$952-$P$952-$R$952-$S$952)/($F$952-$G$952*1-$H$952*0.5)*0.646*1.0268514</f>
        <v>742.8502282779862</v>
      </c>
      <c r="K241" s="60">
        <v>1.065228053001168</v>
      </c>
      <c r="L241" s="75">
        <v>0.9289314986611049</v>
      </c>
      <c r="M241" s="63">
        <f>ROUND(J241*(F241-G241-H241*I241)*K241*(0.5+0.5*L241),1)</f>
        <v>6820.6</v>
      </c>
      <c r="N241" s="63">
        <f>ROUND(M241*0.883,1)</f>
        <v>6022.6</v>
      </c>
      <c r="O241" s="62"/>
      <c r="P241" s="76"/>
      <c r="Q241" s="77"/>
      <c r="R241" s="76"/>
      <c r="S241" s="77"/>
      <c r="T241" s="64"/>
      <c r="U241" s="45">
        <f>+N241+O241+T241+R241+S241+Q241</f>
        <v>6022.6</v>
      </c>
      <c r="V241" s="65"/>
    </row>
    <row r="242" spans="1:22" ht="30" customHeight="1" hidden="1">
      <c r="A242" s="38" t="s">
        <v>58</v>
      </c>
      <c r="B242" s="39" t="s">
        <v>26</v>
      </c>
      <c r="C242" s="40" t="s">
        <v>49</v>
      </c>
      <c r="D242" s="55"/>
      <c r="E242" s="79" t="s">
        <v>50</v>
      </c>
      <c r="F242" s="43">
        <f>SUM(F243:F255)</f>
        <v>960.6930000000001</v>
      </c>
      <c r="G242" s="67">
        <f>SUM(G243:G255)</f>
        <v>0</v>
      </c>
      <c r="H242" s="68">
        <f>SUM(H243:H255)</f>
        <v>0</v>
      </c>
      <c r="I242" s="69"/>
      <c r="J242" s="80"/>
      <c r="K242" s="70"/>
      <c r="L242" s="71">
        <v>0.9425586048423186</v>
      </c>
      <c r="M242" s="72">
        <f aca="true" t="shared" si="66" ref="M242:U242">SUM(M243:M255)</f>
        <v>647207.6</v>
      </c>
      <c r="N242" s="72">
        <f t="shared" si="66"/>
        <v>587017.2</v>
      </c>
      <c r="O242" s="72">
        <f t="shared" si="66"/>
        <v>28608.500000000004</v>
      </c>
      <c r="P242" s="72">
        <f t="shared" si="66"/>
        <v>0</v>
      </c>
      <c r="Q242" s="72">
        <f t="shared" si="66"/>
        <v>0</v>
      </c>
      <c r="R242" s="72">
        <f t="shared" si="66"/>
        <v>0</v>
      </c>
      <c r="S242" s="72">
        <f t="shared" si="66"/>
        <v>0</v>
      </c>
      <c r="T242" s="72">
        <f t="shared" si="66"/>
        <v>34133.3</v>
      </c>
      <c r="U242" s="72">
        <f t="shared" si="66"/>
        <v>649759.0000000001</v>
      </c>
      <c r="V242" s="73"/>
    </row>
    <row r="243" spans="1:22" ht="12.75" hidden="1">
      <c r="A243" s="52" t="s">
        <v>58</v>
      </c>
      <c r="B243" s="53" t="s">
        <v>51</v>
      </c>
      <c r="C243" s="54" t="s">
        <v>52</v>
      </c>
      <c r="D243" s="55" t="s">
        <v>463</v>
      </c>
      <c r="E243" s="56" t="s">
        <v>464</v>
      </c>
      <c r="F243" s="43">
        <v>51.391</v>
      </c>
      <c r="G243" s="128"/>
      <c r="H243" s="57"/>
      <c r="I243" s="58"/>
      <c r="J243" s="59">
        <f aca="true" t="shared" si="67" ref="J243:J255">+($F$7-$O$952-$Q$952-$P$952-$R$952-$S$952)/($F$952-$G$952*1-$H$952*0.5)*0.646*1.0268514</f>
        <v>742.8502282779862</v>
      </c>
      <c r="K243" s="60">
        <v>0.9336178972540682</v>
      </c>
      <c r="L243" s="75">
        <v>0.9542650329507579</v>
      </c>
      <c r="M243" s="63">
        <f aca="true" t="shared" si="68" ref="M243:M255">ROUND(J243*(F243-G243-H243*I243)*K243*(0.5+0.5*L243),1)</f>
        <v>34826.6</v>
      </c>
      <c r="N243" s="63">
        <f aca="true" t="shared" si="69" ref="N243:N255">ROUND(M243*0.907,1)</f>
        <v>31587.7</v>
      </c>
      <c r="O243" s="62"/>
      <c r="P243" s="76"/>
      <c r="Q243" s="77"/>
      <c r="R243" s="76"/>
      <c r="S243" s="77"/>
      <c r="T243" s="64">
        <f>ROUND(N238,1)</f>
        <v>16635.1</v>
      </c>
      <c r="U243" s="45">
        <f aca="true" t="shared" si="70" ref="U243:U255">+N243+O243+T243+R243+S243+Q243</f>
        <v>48222.8</v>
      </c>
      <c r="V243" s="65"/>
    </row>
    <row r="244" spans="1:22" ht="12.75" hidden="1">
      <c r="A244" s="52" t="s">
        <v>58</v>
      </c>
      <c r="B244" s="53" t="s">
        <v>55</v>
      </c>
      <c r="C244" s="54" t="s">
        <v>52</v>
      </c>
      <c r="D244" s="55" t="s">
        <v>465</v>
      </c>
      <c r="E244" s="56" t="s">
        <v>466</v>
      </c>
      <c r="F244" s="43">
        <v>26.593</v>
      </c>
      <c r="G244" s="57"/>
      <c r="H244" s="57"/>
      <c r="I244" s="58"/>
      <c r="J244" s="59">
        <f t="shared" si="67"/>
        <v>742.8502282779862</v>
      </c>
      <c r="K244" s="60">
        <v>0.9336178972540682</v>
      </c>
      <c r="L244" s="75">
        <v>0.9759730640563147</v>
      </c>
      <c r="M244" s="63">
        <f t="shared" si="68"/>
        <v>18221.7</v>
      </c>
      <c r="N244" s="63">
        <f t="shared" si="69"/>
        <v>16527.1</v>
      </c>
      <c r="O244" s="62">
        <v>1167.4</v>
      </c>
      <c r="P244" s="76"/>
      <c r="Q244" s="77"/>
      <c r="R244" s="76"/>
      <c r="S244" s="77"/>
      <c r="T244" s="64"/>
      <c r="U244" s="45">
        <f t="shared" si="70"/>
        <v>17694.5</v>
      </c>
      <c r="V244" s="65"/>
    </row>
    <row r="245" spans="1:22" ht="12.75" hidden="1">
      <c r="A245" s="52" t="s">
        <v>58</v>
      </c>
      <c r="B245" s="53" t="s">
        <v>58</v>
      </c>
      <c r="C245" s="54" t="s">
        <v>52</v>
      </c>
      <c r="D245" s="55" t="s">
        <v>467</v>
      </c>
      <c r="E245" s="56" t="s">
        <v>468</v>
      </c>
      <c r="F245" s="43">
        <v>120.898</v>
      </c>
      <c r="G245" s="57"/>
      <c r="H245" s="57"/>
      <c r="I245" s="141"/>
      <c r="J245" s="59">
        <f t="shared" si="67"/>
        <v>742.8502282779862</v>
      </c>
      <c r="K245" s="60">
        <v>0.9336178972540682</v>
      </c>
      <c r="L245" s="75">
        <v>0.9218776782342215</v>
      </c>
      <c r="M245" s="63">
        <f t="shared" si="68"/>
        <v>80572.2</v>
      </c>
      <c r="N245" s="63">
        <f t="shared" si="69"/>
        <v>73079</v>
      </c>
      <c r="O245" s="62"/>
      <c r="P245" s="76"/>
      <c r="Q245" s="77"/>
      <c r="R245" s="76"/>
      <c r="S245" s="77"/>
      <c r="T245" s="64"/>
      <c r="U245" s="45">
        <f t="shared" si="70"/>
        <v>73079</v>
      </c>
      <c r="V245" s="65"/>
    </row>
    <row r="246" spans="1:22" ht="12.75" hidden="1">
      <c r="A246" s="52" t="s">
        <v>58</v>
      </c>
      <c r="B246" s="53" t="s">
        <v>61</v>
      </c>
      <c r="C246" s="54" t="s">
        <v>52</v>
      </c>
      <c r="D246" s="55" t="s">
        <v>469</v>
      </c>
      <c r="E246" s="56" t="s">
        <v>470</v>
      </c>
      <c r="F246" s="43">
        <v>24.279</v>
      </c>
      <c r="G246" s="57"/>
      <c r="H246" s="57"/>
      <c r="I246" s="58"/>
      <c r="J246" s="59">
        <f t="shared" si="67"/>
        <v>742.8502282779862</v>
      </c>
      <c r="K246" s="60">
        <v>0.9336178972540682</v>
      </c>
      <c r="L246" s="75">
        <v>0.9865658874249975</v>
      </c>
      <c r="M246" s="63">
        <f t="shared" si="68"/>
        <v>16725.3</v>
      </c>
      <c r="N246" s="63">
        <f t="shared" si="69"/>
        <v>15169.8</v>
      </c>
      <c r="O246" s="62">
        <v>3864</v>
      </c>
      <c r="P246" s="76"/>
      <c r="Q246" s="77"/>
      <c r="R246" s="76"/>
      <c r="S246" s="77"/>
      <c r="T246" s="64"/>
      <c r="U246" s="45">
        <f t="shared" si="70"/>
        <v>19033.8</v>
      </c>
      <c r="V246" s="65"/>
    </row>
    <row r="247" spans="1:22" ht="12.75" hidden="1">
      <c r="A247" s="52" t="s">
        <v>58</v>
      </c>
      <c r="B247" s="53" t="s">
        <v>64</v>
      </c>
      <c r="C247" s="54" t="s">
        <v>52</v>
      </c>
      <c r="D247" s="55" t="s">
        <v>471</v>
      </c>
      <c r="E247" s="56" t="s">
        <v>472</v>
      </c>
      <c r="F247" s="43">
        <v>99.998</v>
      </c>
      <c r="G247" s="57"/>
      <c r="H247" s="57"/>
      <c r="I247" s="58"/>
      <c r="J247" s="59">
        <f t="shared" si="67"/>
        <v>742.8502282779862</v>
      </c>
      <c r="K247" s="60">
        <v>0.9336178972540682</v>
      </c>
      <c r="L247" s="75">
        <v>0.9429434662323802</v>
      </c>
      <c r="M247" s="63">
        <f t="shared" si="68"/>
        <v>67373.9</v>
      </c>
      <c r="N247" s="63">
        <f t="shared" si="69"/>
        <v>61108.1</v>
      </c>
      <c r="O247" s="62">
        <v>640.1</v>
      </c>
      <c r="P247" s="76"/>
      <c r="Q247" s="77"/>
      <c r="R247" s="76"/>
      <c r="S247" s="77"/>
      <c r="T247" s="64"/>
      <c r="U247" s="45">
        <f t="shared" si="70"/>
        <v>61748.2</v>
      </c>
      <c r="V247" s="65"/>
    </row>
    <row r="248" spans="1:22" ht="12.75" hidden="1">
      <c r="A248" s="52" t="s">
        <v>58</v>
      </c>
      <c r="B248" s="53">
        <v>10</v>
      </c>
      <c r="C248" s="54" t="s">
        <v>52</v>
      </c>
      <c r="D248" s="55" t="s">
        <v>473</v>
      </c>
      <c r="E248" s="56" t="s">
        <v>474</v>
      </c>
      <c r="F248" s="43">
        <v>47.959</v>
      </c>
      <c r="G248" s="57"/>
      <c r="H248" s="57"/>
      <c r="I248" s="58"/>
      <c r="J248" s="59">
        <f t="shared" si="67"/>
        <v>742.8502282779862</v>
      </c>
      <c r="K248" s="60">
        <v>0.9336178972540682</v>
      </c>
      <c r="L248" s="75">
        <v>0.9555722314155142</v>
      </c>
      <c r="M248" s="63">
        <f t="shared" si="68"/>
        <v>32522.5</v>
      </c>
      <c r="N248" s="63">
        <f t="shared" si="69"/>
        <v>29497.9</v>
      </c>
      <c r="O248" s="62">
        <v>7302.7</v>
      </c>
      <c r="P248" s="76"/>
      <c r="Q248" s="77"/>
      <c r="R248" s="76"/>
      <c r="S248" s="77"/>
      <c r="T248" s="64"/>
      <c r="U248" s="45">
        <f t="shared" si="70"/>
        <v>36800.6</v>
      </c>
      <c r="V248" s="65"/>
    </row>
    <row r="249" spans="1:22" ht="12.75" hidden="1">
      <c r="A249" s="52" t="s">
        <v>58</v>
      </c>
      <c r="B249" s="53">
        <v>11</v>
      </c>
      <c r="C249" s="54" t="s">
        <v>52</v>
      </c>
      <c r="D249" s="55" t="s">
        <v>475</v>
      </c>
      <c r="E249" s="56" t="s">
        <v>476</v>
      </c>
      <c r="F249" s="43">
        <v>101.098</v>
      </c>
      <c r="G249" s="57"/>
      <c r="H249" s="57"/>
      <c r="I249" s="58"/>
      <c r="J249" s="59">
        <f t="shared" si="67"/>
        <v>742.8502282779862</v>
      </c>
      <c r="K249" s="60">
        <v>0.9336178972540682</v>
      </c>
      <c r="L249" s="75">
        <v>0.9471529848807985</v>
      </c>
      <c r="M249" s="63">
        <f t="shared" si="68"/>
        <v>68262.6</v>
      </c>
      <c r="N249" s="63">
        <f t="shared" si="69"/>
        <v>61914.2</v>
      </c>
      <c r="O249" s="62">
        <v>157.7</v>
      </c>
      <c r="P249" s="76"/>
      <c r="Q249" s="77"/>
      <c r="R249" s="76"/>
      <c r="S249" s="77"/>
      <c r="T249" s="64"/>
      <c r="U249" s="45">
        <f t="shared" si="70"/>
        <v>62071.899999999994</v>
      </c>
      <c r="V249" s="65"/>
    </row>
    <row r="250" spans="1:22" ht="12.75" hidden="1">
      <c r="A250" s="52" t="s">
        <v>58</v>
      </c>
      <c r="B250" s="53">
        <v>12</v>
      </c>
      <c r="C250" s="54" t="s">
        <v>52</v>
      </c>
      <c r="D250" s="55" t="s">
        <v>477</v>
      </c>
      <c r="E250" s="56" t="s">
        <v>478</v>
      </c>
      <c r="F250" s="43">
        <v>31.826</v>
      </c>
      <c r="G250" s="57"/>
      <c r="H250" s="57"/>
      <c r="I250" s="58"/>
      <c r="J250" s="59">
        <f t="shared" si="67"/>
        <v>742.8502282779862</v>
      </c>
      <c r="K250" s="60">
        <v>0.9336178972540682</v>
      </c>
      <c r="L250" s="75">
        <v>0.9511996802570527</v>
      </c>
      <c r="M250" s="63">
        <f t="shared" si="68"/>
        <v>21534</v>
      </c>
      <c r="N250" s="63">
        <f t="shared" si="69"/>
        <v>19531.3</v>
      </c>
      <c r="O250" s="62">
        <v>164.6</v>
      </c>
      <c r="P250" s="76"/>
      <c r="Q250" s="77"/>
      <c r="R250" s="76"/>
      <c r="S250" s="77"/>
      <c r="T250" s="64"/>
      <c r="U250" s="45">
        <f t="shared" si="70"/>
        <v>19695.899999999998</v>
      </c>
      <c r="V250" s="65"/>
    </row>
    <row r="251" spans="1:22" ht="12.75" hidden="1">
      <c r="A251" s="52" t="s">
        <v>58</v>
      </c>
      <c r="B251" s="53">
        <v>13</v>
      </c>
      <c r="C251" s="54" t="s">
        <v>52</v>
      </c>
      <c r="D251" s="55" t="s">
        <v>479</v>
      </c>
      <c r="E251" s="56" t="s">
        <v>480</v>
      </c>
      <c r="F251" s="43">
        <v>92.446</v>
      </c>
      <c r="G251" s="57"/>
      <c r="H251" s="57"/>
      <c r="I251" s="58"/>
      <c r="J251" s="59">
        <f t="shared" si="67"/>
        <v>742.8502282779862</v>
      </c>
      <c r="K251" s="60">
        <v>0.9336178972540682</v>
      </c>
      <c r="L251" s="75">
        <v>0.9202608844579832</v>
      </c>
      <c r="M251" s="63">
        <f t="shared" si="68"/>
        <v>61558.6</v>
      </c>
      <c r="N251" s="63">
        <f t="shared" si="69"/>
        <v>55833.7</v>
      </c>
      <c r="O251" s="62">
        <v>10789.3</v>
      </c>
      <c r="P251" s="76"/>
      <c r="Q251" s="77"/>
      <c r="R251" s="76"/>
      <c r="S251" s="77"/>
      <c r="T251" s="64"/>
      <c r="U251" s="45">
        <f t="shared" si="70"/>
        <v>66623</v>
      </c>
      <c r="V251" s="65"/>
    </row>
    <row r="252" spans="1:22" ht="12.75" hidden="1">
      <c r="A252" s="52" t="s">
        <v>58</v>
      </c>
      <c r="B252" s="53">
        <v>14</v>
      </c>
      <c r="C252" s="54" t="s">
        <v>52</v>
      </c>
      <c r="D252" s="55" t="s">
        <v>481</v>
      </c>
      <c r="E252" s="56" t="s">
        <v>482</v>
      </c>
      <c r="F252" s="43">
        <v>54.557</v>
      </c>
      <c r="G252" s="57"/>
      <c r="H252" s="57"/>
      <c r="I252" s="58"/>
      <c r="J252" s="59">
        <f t="shared" si="67"/>
        <v>742.8502282779862</v>
      </c>
      <c r="K252" s="60">
        <v>0.9336178972540682</v>
      </c>
      <c r="L252" s="75">
        <v>0.9509590133251788</v>
      </c>
      <c r="M252" s="63">
        <f t="shared" si="68"/>
        <v>36909.6</v>
      </c>
      <c r="N252" s="63">
        <f t="shared" si="69"/>
        <v>33477</v>
      </c>
      <c r="O252" s="62">
        <v>92.6</v>
      </c>
      <c r="P252" s="76"/>
      <c r="Q252" s="77"/>
      <c r="R252" s="76"/>
      <c r="S252" s="77"/>
      <c r="T252" s="64"/>
      <c r="U252" s="45">
        <f t="shared" si="70"/>
        <v>33569.6</v>
      </c>
      <c r="V252" s="65"/>
    </row>
    <row r="253" spans="1:22" ht="12.75" hidden="1">
      <c r="A253" s="52" t="s">
        <v>58</v>
      </c>
      <c r="B253" s="53">
        <v>15</v>
      </c>
      <c r="C253" s="54" t="s">
        <v>52</v>
      </c>
      <c r="D253" s="55" t="s">
        <v>483</v>
      </c>
      <c r="E253" s="56" t="s">
        <v>484</v>
      </c>
      <c r="F253" s="43">
        <v>143.247</v>
      </c>
      <c r="G253" s="57"/>
      <c r="H253" s="57"/>
      <c r="I253" s="58"/>
      <c r="J253" s="59">
        <f t="shared" si="67"/>
        <v>742.8502282779862</v>
      </c>
      <c r="K253" s="60">
        <v>0.9336178972540682</v>
      </c>
      <c r="L253" s="75">
        <v>0.9363860302164266</v>
      </c>
      <c r="M253" s="63">
        <f t="shared" si="68"/>
        <v>96187.3</v>
      </c>
      <c r="N253" s="63">
        <f t="shared" si="69"/>
        <v>87241.9</v>
      </c>
      <c r="O253" s="62">
        <v>3777.7</v>
      </c>
      <c r="P253" s="76"/>
      <c r="Q253" s="77"/>
      <c r="R253" s="76"/>
      <c r="S253" s="77"/>
      <c r="T253" s="64"/>
      <c r="U253" s="45">
        <f t="shared" si="70"/>
        <v>91019.59999999999</v>
      </c>
      <c r="V253" s="65"/>
    </row>
    <row r="254" spans="1:22" ht="12.75" hidden="1">
      <c r="A254" s="52" t="s">
        <v>58</v>
      </c>
      <c r="B254" s="53">
        <v>16</v>
      </c>
      <c r="C254" s="54" t="s">
        <v>52</v>
      </c>
      <c r="D254" s="55" t="s">
        <v>485</v>
      </c>
      <c r="E254" s="56" t="s">
        <v>486</v>
      </c>
      <c r="F254" s="43">
        <v>70.678</v>
      </c>
      <c r="G254" s="57"/>
      <c r="H254" s="57"/>
      <c r="I254" s="58"/>
      <c r="J254" s="59">
        <f t="shared" si="67"/>
        <v>742.8502282779862</v>
      </c>
      <c r="K254" s="60">
        <v>0.9336178972540682</v>
      </c>
      <c r="L254" s="75">
        <v>0.9589791859883597</v>
      </c>
      <c r="M254" s="63">
        <f t="shared" si="68"/>
        <v>48012.5</v>
      </c>
      <c r="N254" s="63">
        <f t="shared" si="69"/>
        <v>43547.3</v>
      </c>
      <c r="O254" s="62"/>
      <c r="P254" s="76"/>
      <c r="Q254" s="77"/>
      <c r="R254" s="76"/>
      <c r="S254" s="77"/>
      <c r="T254" s="64">
        <f>-4200</f>
        <v>-4200</v>
      </c>
      <c r="U254" s="45">
        <f t="shared" si="70"/>
        <v>39347.3</v>
      </c>
      <c r="V254" s="65"/>
    </row>
    <row r="255" spans="1:22" ht="12.75" hidden="1">
      <c r="A255" s="52" t="s">
        <v>58</v>
      </c>
      <c r="B255" s="53">
        <v>17</v>
      </c>
      <c r="C255" s="54" t="s">
        <v>52</v>
      </c>
      <c r="D255" s="55" t="s">
        <v>487</v>
      </c>
      <c r="E255" s="56" t="s">
        <v>488</v>
      </c>
      <c r="F255" s="43">
        <v>95.723</v>
      </c>
      <c r="G255" s="57"/>
      <c r="H255" s="57"/>
      <c r="I255" s="58"/>
      <c r="J255" s="59">
        <f t="shared" si="67"/>
        <v>742.8502282779862</v>
      </c>
      <c r="K255" s="60">
        <v>0.9336178972540682</v>
      </c>
      <c r="L255" s="75">
        <v>0.9431592129117192</v>
      </c>
      <c r="M255" s="63">
        <f t="shared" si="68"/>
        <v>64500.8</v>
      </c>
      <c r="N255" s="63">
        <f t="shared" si="69"/>
        <v>58502.2</v>
      </c>
      <c r="O255" s="62">
        <v>652.4</v>
      </c>
      <c r="P255" s="76"/>
      <c r="Q255" s="77"/>
      <c r="R255" s="76"/>
      <c r="S255" s="77"/>
      <c r="T255" s="64">
        <f>ROUND(N240,1)</f>
        <v>21698.2</v>
      </c>
      <c r="U255" s="45">
        <f t="shared" si="70"/>
        <v>80852.8</v>
      </c>
      <c r="V255" s="65"/>
    </row>
    <row r="256" spans="1:22" ht="26.25" hidden="1">
      <c r="A256" s="142" t="s">
        <v>58</v>
      </c>
      <c r="B256" s="143" t="s">
        <v>26</v>
      </c>
      <c r="C256" s="144" t="s">
        <v>111</v>
      </c>
      <c r="D256" s="89"/>
      <c r="E256" s="79" t="s">
        <v>112</v>
      </c>
      <c r="F256" s="43">
        <f>SUM(F257:F258)</f>
        <v>32.01</v>
      </c>
      <c r="G256" s="83">
        <f>SUM(G257:G258)</f>
        <v>0</v>
      </c>
      <c r="H256" s="83">
        <f>SUM(H257:H258)</f>
        <v>0</v>
      </c>
      <c r="I256" s="58"/>
      <c r="J256" s="59"/>
      <c r="K256" s="60"/>
      <c r="L256" s="75">
        <v>0</v>
      </c>
      <c r="M256" s="72">
        <f aca="true" t="shared" si="71" ref="M256:U256">SUM(M257:M258)</f>
        <v>21494.1</v>
      </c>
      <c r="N256" s="72">
        <f t="shared" si="71"/>
        <v>19495.1</v>
      </c>
      <c r="O256" s="72">
        <f t="shared" si="71"/>
        <v>170.8</v>
      </c>
      <c r="P256" s="72">
        <f t="shared" si="71"/>
        <v>0</v>
      </c>
      <c r="Q256" s="72">
        <f t="shared" si="71"/>
        <v>0</v>
      </c>
      <c r="R256" s="72">
        <f t="shared" si="71"/>
        <v>0</v>
      </c>
      <c r="S256" s="72">
        <f t="shared" si="71"/>
        <v>0</v>
      </c>
      <c r="T256" s="72">
        <f t="shared" si="71"/>
        <v>0</v>
      </c>
      <c r="U256" s="72">
        <f t="shared" si="71"/>
        <v>19665.9</v>
      </c>
      <c r="V256" s="51"/>
    </row>
    <row r="257" spans="1:22" ht="26.25" hidden="1">
      <c r="A257" s="145" t="s">
        <v>58</v>
      </c>
      <c r="B257" s="146">
        <v>18</v>
      </c>
      <c r="C257" s="88" t="s">
        <v>113</v>
      </c>
      <c r="D257" s="89" t="s">
        <v>489</v>
      </c>
      <c r="E257" s="56" t="s">
        <v>490</v>
      </c>
      <c r="F257" s="43">
        <v>12.437</v>
      </c>
      <c r="G257" s="57"/>
      <c r="H257" s="57"/>
      <c r="I257" s="58"/>
      <c r="J257" s="59">
        <f>+($F$7-$O$952-$Q$952-$P$952-$R$952-$S$952)/($F$952-$G$952*1-$H$952*0.5)*0.646*1.0268514</f>
        <v>742.8502282779862</v>
      </c>
      <c r="K257" s="60">
        <v>0.9336178972540682</v>
      </c>
      <c r="L257" s="75">
        <v>0.9363860302164266</v>
      </c>
      <c r="M257" s="63">
        <f>ROUND(J257*(F257-G257-H257*I257)*K257*(0.5+0.5*L257),1)</f>
        <v>8351.2</v>
      </c>
      <c r="N257" s="63">
        <f>ROUND(M257*0.907,1)</f>
        <v>7574.5</v>
      </c>
      <c r="O257" s="62">
        <v>170.8</v>
      </c>
      <c r="P257" s="76"/>
      <c r="Q257" s="77"/>
      <c r="R257" s="76"/>
      <c r="S257" s="77"/>
      <c r="T257" s="64"/>
      <c r="U257" s="45">
        <f>+N257+O257+T257+R257+S257+Q257</f>
        <v>7745.3</v>
      </c>
      <c r="V257" s="65"/>
    </row>
    <row r="258" spans="1:22" ht="26.25" hidden="1">
      <c r="A258" s="145" t="s">
        <v>58</v>
      </c>
      <c r="B258" s="146">
        <v>19</v>
      </c>
      <c r="C258" s="88" t="s">
        <v>113</v>
      </c>
      <c r="D258" s="89" t="s">
        <v>491</v>
      </c>
      <c r="E258" s="56" t="s">
        <v>492</v>
      </c>
      <c r="F258" s="43">
        <v>19.573</v>
      </c>
      <c r="G258" s="57"/>
      <c r="H258" s="57"/>
      <c r="I258" s="58"/>
      <c r="J258" s="59">
        <f>+($F$7-$O$952-$Q$952-$P$952-$R$952-$S$952)/($F$952-$G$952*1-$H$952*0.5)*0.646*1.0268514</f>
        <v>742.8502282779862</v>
      </c>
      <c r="K258" s="60">
        <v>0.9336178972540682</v>
      </c>
      <c r="L258" s="75">
        <v>0.9363860302164266</v>
      </c>
      <c r="M258" s="63">
        <f>ROUND(J258*(F258-G258-H258*I258)*K258*(0.5+0.5*L258),1)</f>
        <v>13142.9</v>
      </c>
      <c r="N258" s="63">
        <f>ROUND(M258*0.907,1)</f>
        <v>11920.6</v>
      </c>
      <c r="O258" s="62"/>
      <c r="P258" s="76"/>
      <c r="Q258" s="77"/>
      <c r="R258" s="76"/>
      <c r="S258" s="77"/>
      <c r="T258" s="64"/>
      <c r="U258" s="45">
        <f>+N258+O258+T258+R258+S258+Q258</f>
        <v>11920.6</v>
      </c>
      <c r="V258" s="65"/>
    </row>
    <row r="259" spans="1:22" ht="25.5" hidden="1">
      <c r="A259" s="38" t="s">
        <v>61</v>
      </c>
      <c r="B259" s="39" t="s">
        <v>26</v>
      </c>
      <c r="C259" s="40" t="s">
        <v>27</v>
      </c>
      <c r="D259" s="41"/>
      <c r="E259" s="127" t="s">
        <v>493</v>
      </c>
      <c r="F259" s="43">
        <f>F260+F261+F267+F288</f>
        <v>1753.642</v>
      </c>
      <c r="G259" s="44">
        <f>+G260+G261+G267+G288</f>
        <v>0</v>
      </c>
      <c r="H259" s="44">
        <f>+H260+H261+H267+H288</f>
        <v>0</v>
      </c>
      <c r="I259" s="45"/>
      <c r="J259" s="46"/>
      <c r="K259" s="47"/>
      <c r="L259" s="48">
        <v>1.0249893649633601</v>
      </c>
      <c r="M259" s="49">
        <f aca="true" t="shared" si="72" ref="M259:U259">+M260+M261+M267+M288</f>
        <v>2010821.3999999997</v>
      </c>
      <c r="N259" s="49">
        <f t="shared" si="72"/>
        <v>2010821.4</v>
      </c>
      <c r="O259" s="49">
        <f t="shared" si="72"/>
        <v>0</v>
      </c>
      <c r="P259" s="49">
        <f t="shared" si="72"/>
        <v>126.9</v>
      </c>
      <c r="Q259" s="49">
        <f t="shared" si="72"/>
        <v>24608.1</v>
      </c>
      <c r="R259" s="49">
        <f t="shared" si="72"/>
        <v>66331.3</v>
      </c>
      <c r="S259" s="49">
        <f t="shared" si="72"/>
        <v>408</v>
      </c>
      <c r="T259" s="49">
        <f t="shared" si="72"/>
        <v>0</v>
      </c>
      <c r="U259" s="49">
        <f t="shared" si="72"/>
        <v>2102295.7</v>
      </c>
      <c r="V259" s="65"/>
    </row>
    <row r="260" spans="1:22" ht="12.75" hidden="1">
      <c r="A260" s="52" t="s">
        <v>61</v>
      </c>
      <c r="B260" s="53" t="s">
        <v>26</v>
      </c>
      <c r="C260" s="54" t="s">
        <v>29</v>
      </c>
      <c r="D260" s="55" t="s">
        <v>494</v>
      </c>
      <c r="E260" s="56" t="s">
        <v>31</v>
      </c>
      <c r="F260" s="43">
        <v>0</v>
      </c>
      <c r="G260" s="128"/>
      <c r="H260" s="128"/>
      <c r="I260" s="58"/>
      <c r="J260" s="59">
        <f>+($F$7-$O$952-$Q$952-$P$952-R$952-$S$952)/$F$952*0.354*0.951</f>
        <v>376.76602120660414</v>
      </c>
      <c r="K260" s="60">
        <v>0</v>
      </c>
      <c r="L260" s="48">
        <v>1.0249893649633601</v>
      </c>
      <c r="M260" s="49">
        <f>ROUND(J260*(F261+F267+F288)*(0.5+0.5*L260),1)</f>
        <v>668968.1</v>
      </c>
      <c r="N260" s="49">
        <f>M260+ROUND(SUM(M262:M266)*0.117+SUM(M268:M287)*0.093+SUM(M289:M294)*0.093,1)</f>
        <v>815216</v>
      </c>
      <c r="O260" s="61"/>
      <c r="P260" s="62">
        <v>126.9</v>
      </c>
      <c r="Q260" s="63">
        <v>24608.1</v>
      </c>
      <c r="R260" s="62">
        <v>66331.3</v>
      </c>
      <c r="S260" s="63">
        <v>408</v>
      </c>
      <c r="T260" s="64"/>
      <c r="U260" s="45">
        <f>N260+O260+P260+Q260+R260+S260+T260</f>
        <v>906690.3</v>
      </c>
      <c r="V260" s="65"/>
    </row>
    <row r="261" spans="1:22" ht="13.5" hidden="1">
      <c r="A261" s="38" t="s">
        <v>61</v>
      </c>
      <c r="B261" s="39" t="s">
        <v>26</v>
      </c>
      <c r="C261" s="40" t="s">
        <v>33</v>
      </c>
      <c r="D261" s="55"/>
      <c r="E261" s="79" t="s">
        <v>34</v>
      </c>
      <c r="F261" s="43">
        <f>SUM(F262:F266)</f>
        <v>1116.624</v>
      </c>
      <c r="G261" s="67">
        <f>SUM(G262:G266)</f>
        <v>0</v>
      </c>
      <c r="H261" s="68">
        <f>SUM(H262:H266)</f>
        <v>0</v>
      </c>
      <c r="I261" s="69"/>
      <c r="J261" s="59"/>
      <c r="K261" s="70"/>
      <c r="L261" s="71">
        <v>1.0235512086651</v>
      </c>
      <c r="M261" s="72">
        <f aca="true" t="shared" si="73" ref="M261:U261">SUM(M262:M266)</f>
        <v>893981.7999999999</v>
      </c>
      <c r="N261" s="72">
        <f t="shared" si="73"/>
        <v>789385.9</v>
      </c>
      <c r="O261" s="72">
        <f t="shared" si="73"/>
        <v>0</v>
      </c>
      <c r="P261" s="72">
        <f t="shared" si="73"/>
        <v>0</v>
      </c>
      <c r="Q261" s="72">
        <f t="shared" si="73"/>
        <v>0</v>
      </c>
      <c r="R261" s="72">
        <f t="shared" si="73"/>
        <v>0</v>
      </c>
      <c r="S261" s="72">
        <f t="shared" si="73"/>
        <v>0</v>
      </c>
      <c r="T261" s="72">
        <f t="shared" si="73"/>
        <v>0</v>
      </c>
      <c r="U261" s="72">
        <f t="shared" si="73"/>
        <v>789385.9</v>
      </c>
      <c r="V261" s="73"/>
    </row>
    <row r="262" spans="1:22" ht="12.75" hidden="1">
      <c r="A262" s="52" t="s">
        <v>61</v>
      </c>
      <c r="B262" s="53" t="s">
        <v>35</v>
      </c>
      <c r="C262" s="54" t="s">
        <v>36</v>
      </c>
      <c r="D262" s="55" t="s">
        <v>495</v>
      </c>
      <c r="E262" s="74" t="s">
        <v>496</v>
      </c>
      <c r="F262" s="43">
        <v>756.927</v>
      </c>
      <c r="G262" s="57"/>
      <c r="H262" s="57"/>
      <c r="I262" s="58"/>
      <c r="J262" s="59">
        <f>+($F$7-$O$952-$Q$952-$P$952-$R$952-$S$952)/($F$952-$G$952*1-$H$952*0.5)*0.646*1.0268514</f>
        <v>742.8502282779862</v>
      </c>
      <c r="K262" s="60">
        <v>1.065228053001168</v>
      </c>
      <c r="L262" s="75">
        <v>1.0224778394445837</v>
      </c>
      <c r="M262" s="63">
        <f>ROUND(J262*(F262-G262-H262*I262)*K262*(0.5+0.5*L262),1)</f>
        <v>605691.7</v>
      </c>
      <c r="N262" s="63">
        <f>ROUND(M262*0.883,1)</f>
        <v>534825.8</v>
      </c>
      <c r="O262" s="62"/>
      <c r="P262" s="76"/>
      <c r="Q262" s="77"/>
      <c r="R262" s="76"/>
      <c r="S262" s="77"/>
      <c r="T262" s="64"/>
      <c r="U262" s="45">
        <f>+N262+O262+T262+R262+S262+Q262</f>
        <v>534825.8</v>
      </c>
      <c r="V262" s="65"/>
    </row>
    <row r="263" spans="1:22" s="82" customFormat="1" ht="13.5" hidden="1">
      <c r="A263" s="52" t="s">
        <v>61</v>
      </c>
      <c r="B263" s="53" t="s">
        <v>32</v>
      </c>
      <c r="C263" s="54" t="s">
        <v>36</v>
      </c>
      <c r="D263" s="55" t="s">
        <v>497</v>
      </c>
      <c r="E263" s="78" t="s">
        <v>498</v>
      </c>
      <c r="F263" s="43">
        <v>117.297</v>
      </c>
      <c r="G263" s="57"/>
      <c r="H263" s="57"/>
      <c r="I263" s="58"/>
      <c r="J263" s="59">
        <f>+($F$7-$O$952-$Q$952-$P$952-$R$952-$S$952)/($F$952-$G$952*1-$H$952*0.5)*0.646*1.0268514</f>
        <v>742.8502282779862</v>
      </c>
      <c r="K263" s="60">
        <v>1.065228053001168</v>
      </c>
      <c r="L263" s="75">
        <v>1.0655448874782114</v>
      </c>
      <c r="M263" s="63">
        <f>ROUND(J263*(F263-G263-H263*I263)*K263*(0.5+0.5*L263),1)</f>
        <v>95859.6</v>
      </c>
      <c r="N263" s="63">
        <f>ROUND(M263*0.883,1)</f>
        <v>84644</v>
      </c>
      <c r="O263" s="62"/>
      <c r="P263" s="76"/>
      <c r="Q263" s="77"/>
      <c r="R263" s="76"/>
      <c r="S263" s="77"/>
      <c r="T263" s="64"/>
      <c r="U263" s="45">
        <f>+N263+O263+T263+R263+S263+Q263</f>
        <v>84644</v>
      </c>
      <c r="V263" s="65"/>
    </row>
    <row r="264" spans="1:22" s="82" customFormat="1" ht="13.5" hidden="1">
      <c r="A264" s="52" t="s">
        <v>61</v>
      </c>
      <c r="B264" s="53" t="s">
        <v>118</v>
      </c>
      <c r="C264" s="54" t="s">
        <v>36</v>
      </c>
      <c r="D264" s="55" t="s">
        <v>499</v>
      </c>
      <c r="E264" s="78" t="s">
        <v>500</v>
      </c>
      <c r="F264" s="43">
        <v>54.33</v>
      </c>
      <c r="G264" s="57"/>
      <c r="H264" s="57"/>
      <c r="I264" s="58"/>
      <c r="J264" s="59">
        <f>+($F$7-$O$952-$Q$952-$P$952-$R$952-$S$952)/($F$952-$G$952*1-$H$952*0.5)*0.646*1.0268514</f>
        <v>742.8502282779862</v>
      </c>
      <c r="K264" s="60">
        <v>1.065228053001168</v>
      </c>
      <c r="L264" s="75">
        <v>0.9753420941526614</v>
      </c>
      <c r="M264" s="63">
        <f>ROUND(J264*(F264-G264-H264*I264)*K264*(0.5+0.5*L264),1)</f>
        <v>42461.6</v>
      </c>
      <c r="N264" s="63">
        <f>ROUND(M264*0.883,1)</f>
        <v>37493.6</v>
      </c>
      <c r="O264" s="62"/>
      <c r="P264" s="76"/>
      <c r="Q264" s="77"/>
      <c r="R264" s="76"/>
      <c r="S264" s="77"/>
      <c r="T264" s="64"/>
      <c r="U264" s="45">
        <f>+N264+O264+T264+R264+S264+Q264</f>
        <v>37493.6</v>
      </c>
      <c r="V264" s="65"/>
    </row>
    <row r="265" spans="1:22" s="129" customFormat="1" ht="12.75" hidden="1">
      <c r="A265" s="52" t="s">
        <v>61</v>
      </c>
      <c r="B265" s="53" t="s">
        <v>127</v>
      </c>
      <c r="C265" s="54" t="s">
        <v>36</v>
      </c>
      <c r="D265" s="55" t="s">
        <v>501</v>
      </c>
      <c r="E265" s="78" t="s">
        <v>502</v>
      </c>
      <c r="F265" s="43">
        <v>155.899</v>
      </c>
      <c r="G265" s="57"/>
      <c r="H265" s="57"/>
      <c r="I265" s="58"/>
      <c r="J265" s="59">
        <f>+($F$7-$O$952-$Q$952-$P$952-$R$952-$S$952)/($F$952-$G$952*1-$H$952*0.5)*0.646*1.0268514</f>
        <v>742.8502282779862</v>
      </c>
      <c r="K265" s="60">
        <v>1.065228053001168</v>
      </c>
      <c r="L265" s="75">
        <v>1.0064342972841094</v>
      </c>
      <c r="M265" s="63">
        <f>ROUND(J265*(F265-G265-H265*I265)*K265*(0.5+0.5*L265),1)</f>
        <v>123760.5</v>
      </c>
      <c r="N265" s="63">
        <f>ROUND(M265*0.883,1)</f>
        <v>109280.5</v>
      </c>
      <c r="O265" s="62"/>
      <c r="P265" s="76"/>
      <c r="Q265" s="77"/>
      <c r="R265" s="76"/>
      <c r="S265" s="77"/>
      <c r="T265" s="64"/>
      <c r="U265" s="45">
        <f>+N265+O265+T265+R265+S265+Q265</f>
        <v>109280.5</v>
      </c>
      <c r="V265" s="65"/>
    </row>
    <row r="266" spans="1:22" s="147" customFormat="1" ht="12.75" hidden="1">
      <c r="A266" s="52" t="s">
        <v>61</v>
      </c>
      <c r="B266" s="53" t="s">
        <v>51</v>
      </c>
      <c r="C266" s="54" t="s">
        <v>36</v>
      </c>
      <c r="D266" s="55" t="s">
        <v>503</v>
      </c>
      <c r="E266" s="78" t="s">
        <v>504</v>
      </c>
      <c r="F266" s="43">
        <v>32.171</v>
      </c>
      <c r="G266" s="57"/>
      <c r="H266" s="57"/>
      <c r="I266" s="58"/>
      <c r="J266" s="59">
        <f>+($F$7-$O$952-$Q$952-$P$952-$R$952-$S$952)/($F$952-$G$952*1-$H$952*0.5)*0.646*1.0268514</f>
        <v>742.8502282779862</v>
      </c>
      <c r="K266" s="60">
        <v>1.065228053001168</v>
      </c>
      <c r="L266" s="75">
        <v>1.0590276356410444</v>
      </c>
      <c r="M266" s="63">
        <f>ROUND(J266*(F266-G266-H266*I266)*K266*(0.5+0.5*L266),1)</f>
        <v>26208.4</v>
      </c>
      <c r="N266" s="63">
        <f>ROUND(M266*0.883,1)</f>
        <v>23142</v>
      </c>
      <c r="O266" s="62"/>
      <c r="P266" s="76"/>
      <c r="Q266" s="77"/>
      <c r="R266" s="76"/>
      <c r="S266" s="77"/>
      <c r="T266" s="64"/>
      <c r="U266" s="45">
        <f>+N266+O266+T266+R266+S266+Q266</f>
        <v>23142</v>
      </c>
      <c r="V266" s="65"/>
    </row>
    <row r="267" spans="1:22" ht="30.75" customHeight="1" hidden="1">
      <c r="A267" s="38" t="s">
        <v>61</v>
      </c>
      <c r="B267" s="39" t="s">
        <v>26</v>
      </c>
      <c r="C267" s="40" t="s">
        <v>49</v>
      </c>
      <c r="D267" s="55"/>
      <c r="E267" s="79" t="s">
        <v>50</v>
      </c>
      <c r="F267" s="43">
        <f>SUM(F268:F287)</f>
        <v>598.0070000000001</v>
      </c>
      <c r="G267" s="67">
        <f>SUM(G268:G287)</f>
        <v>0</v>
      </c>
      <c r="H267" s="68">
        <f>SUM(H268:H287)</f>
        <v>0</v>
      </c>
      <c r="I267" s="69"/>
      <c r="J267" s="80"/>
      <c r="K267" s="70"/>
      <c r="L267" s="71">
        <v>1.0274928497906943</v>
      </c>
      <c r="M267" s="72">
        <f aca="true" t="shared" si="74" ref="M267:U267">SUM(M268:M287)</f>
        <v>420400.79999999993</v>
      </c>
      <c r="N267" s="72">
        <f t="shared" si="74"/>
        <v>381303.69999999995</v>
      </c>
      <c r="O267" s="72">
        <f t="shared" si="74"/>
        <v>0</v>
      </c>
      <c r="P267" s="72">
        <f t="shared" si="74"/>
        <v>0</v>
      </c>
      <c r="Q267" s="72">
        <f t="shared" si="74"/>
        <v>0</v>
      </c>
      <c r="R267" s="72">
        <f t="shared" si="74"/>
        <v>0</v>
      </c>
      <c r="S267" s="72">
        <f t="shared" si="74"/>
        <v>0</v>
      </c>
      <c r="T267" s="72">
        <f t="shared" si="74"/>
        <v>0</v>
      </c>
      <c r="U267" s="72">
        <f t="shared" si="74"/>
        <v>381303.69999999995</v>
      </c>
      <c r="V267" s="73"/>
    </row>
    <row r="268" spans="1:22" ht="12.75" hidden="1">
      <c r="A268" s="52" t="s">
        <v>61</v>
      </c>
      <c r="B268" s="53" t="s">
        <v>55</v>
      </c>
      <c r="C268" s="54" t="s">
        <v>52</v>
      </c>
      <c r="D268" s="55" t="s">
        <v>505</v>
      </c>
      <c r="E268" s="56" t="s">
        <v>506</v>
      </c>
      <c r="F268" s="43">
        <v>20.732</v>
      </c>
      <c r="G268" s="128"/>
      <c r="H268" s="128"/>
      <c r="I268" s="58"/>
      <c r="J268" s="59">
        <f aca="true" t="shared" si="75" ref="J268:J287">+($F$7-$O$952-$Q$952-$P$952-$R$952-$S$952)/($F$952-$G$952*1-$H$952*0.5)*0.646*1.0268514</f>
        <v>742.8502282779862</v>
      </c>
      <c r="K268" s="60">
        <v>0.9336178972540682</v>
      </c>
      <c r="L268" s="75">
        <v>1.0406981223413292</v>
      </c>
      <c r="M268" s="63">
        <f aca="true" t="shared" si="76" ref="M268:M287">ROUND(J268*(F268-G268-H268*I268)*K268*(0.5+0.5*L268),1)</f>
        <v>14671</v>
      </c>
      <c r="N268" s="63">
        <f aca="true" t="shared" si="77" ref="N268:N287">ROUND(M268*0.907,1)</f>
        <v>13306.6</v>
      </c>
      <c r="O268" s="62"/>
      <c r="P268" s="76"/>
      <c r="Q268" s="77"/>
      <c r="R268" s="76"/>
      <c r="S268" s="77"/>
      <c r="T268" s="64"/>
      <c r="U268" s="45">
        <f aca="true" t="shared" si="78" ref="U268:U287">+N268+O268+T268+R268+S268+Q268</f>
        <v>13306.6</v>
      </c>
      <c r="V268" s="65"/>
    </row>
    <row r="269" spans="1:22" ht="12.75" hidden="1">
      <c r="A269" s="52" t="s">
        <v>61</v>
      </c>
      <c r="B269" s="53" t="s">
        <v>58</v>
      </c>
      <c r="C269" s="54" t="s">
        <v>52</v>
      </c>
      <c r="D269" s="55" t="s">
        <v>507</v>
      </c>
      <c r="E269" s="56" t="s">
        <v>508</v>
      </c>
      <c r="F269" s="43">
        <v>64.036</v>
      </c>
      <c r="G269" s="57"/>
      <c r="H269" s="57"/>
      <c r="I269" s="58"/>
      <c r="J269" s="59">
        <f t="shared" si="75"/>
        <v>742.8502282779862</v>
      </c>
      <c r="K269" s="60">
        <v>0.9336178972540682</v>
      </c>
      <c r="L269" s="75">
        <v>1.0313479869276707</v>
      </c>
      <c r="M269" s="63">
        <f t="shared" si="76"/>
        <v>45107.5</v>
      </c>
      <c r="N269" s="63">
        <f t="shared" si="77"/>
        <v>40912.5</v>
      </c>
      <c r="O269" s="62"/>
      <c r="P269" s="76"/>
      <c r="Q269" s="77"/>
      <c r="R269" s="76"/>
      <c r="S269" s="77"/>
      <c r="T269" s="64"/>
      <c r="U269" s="45">
        <f t="shared" si="78"/>
        <v>40912.5</v>
      </c>
      <c r="V269" s="65"/>
    </row>
    <row r="270" spans="1:22" ht="12.75" hidden="1">
      <c r="A270" s="52" t="s">
        <v>61</v>
      </c>
      <c r="B270" s="53" t="s">
        <v>61</v>
      </c>
      <c r="C270" s="54" t="s">
        <v>52</v>
      </c>
      <c r="D270" s="55" t="s">
        <v>509</v>
      </c>
      <c r="E270" s="56" t="s">
        <v>510</v>
      </c>
      <c r="F270" s="43">
        <v>8.042</v>
      </c>
      <c r="G270" s="57"/>
      <c r="H270" s="57"/>
      <c r="I270" s="58"/>
      <c r="J270" s="59">
        <f t="shared" si="75"/>
        <v>742.8502282779862</v>
      </c>
      <c r="K270" s="60">
        <v>0.9336178972540682</v>
      </c>
      <c r="L270" s="75">
        <v>1.0283316244784213</v>
      </c>
      <c r="M270" s="63">
        <f t="shared" si="76"/>
        <v>5656.4</v>
      </c>
      <c r="N270" s="63">
        <f t="shared" si="77"/>
        <v>5130.4</v>
      </c>
      <c r="O270" s="62"/>
      <c r="P270" s="76"/>
      <c r="Q270" s="77"/>
      <c r="R270" s="76"/>
      <c r="S270" s="77"/>
      <c r="T270" s="64"/>
      <c r="U270" s="45">
        <f t="shared" si="78"/>
        <v>5130.4</v>
      </c>
      <c r="V270" s="65"/>
    </row>
    <row r="271" spans="1:22" ht="12.75" hidden="1">
      <c r="A271" s="52" t="s">
        <v>61</v>
      </c>
      <c r="B271" s="53" t="s">
        <v>64</v>
      </c>
      <c r="C271" s="54" t="s">
        <v>52</v>
      </c>
      <c r="D271" s="55" t="s">
        <v>511</v>
      </c>
      <c r="E271" s="56" t="s">
        <v>512</v>
      </c>
      <c r="F271" s="43">
        <v>8.784</v>
      </c>
      <c r="G271" s="57"/>
      <c r="H271" s="57"/>
      <c r="I271" s="58"/>
      <c r="J271" s="59">
        <f t="shared" si="75"/>
        <v>742.8502282779862</v>
      </c>
      <c r="K271" s="60">
        <v>0.9336178972540682</v>
      </c>
      <c r="L271" s="75">
        <v>1.0091512100548155</v>
      </c>
      <c r="M271" s="63">
        <f t="shared" si="76"/>
        <v>6119.9</v>
      </c>
      <c r="N271" s="63">
        <f t="shared" si="77"/>
        <v>5550.7</v>
      </c>
      <c r="O271" s="62"/>
      <c r="P271" s="76"/>
      <c r="Q271" s="77"/>
      <c r="R271" s="76"/>
      <c r="S271" s="77"/>
      <c r="T271" s="64"/>
      <c r="U271" s="45">
        <f t="shared" si="78"/>
        <v>5550.7</v>
      </c>
      <c r="V271" s="65"/>
    </row>
    <row r="272" spans="1:22" ht="12.75" hidden="1">
      <c r="A272" s="52" t="s">
        <v>61</v>
      </c>
      <c r="B272" s="53">
        <v>10</v>
      </c>
      <c r="C272" s="54" t="s">
        <v>52</v>
      </c>
      <c r="D272" s="55" t="s">
        <v>513</v>
      </c>
      <c r="E272" s="56" t="s">
        <v>514</v>
      </c>
      <c r="F272" s="43">
        <v>47.577</v>
      </c>
      <c r="G272" s="57"/>
      <c r="H272" s="57"/>
      <c r="I272" s="58"/>
      <c r="J272" s="59">
        <f t="shared" si="75"/>
        <v>742.8502282779862</v>
      </c>
      <c r="K272" s="60">
        <v>0.9336178972540682</v>
      </c>
      <c r="L272" s="75">
        <v>1.024867869666079</v>
      </c>
      <c r="M272" s="63">
        <f t="shared" si="76"/>
        <v>33406.7</v>
      </c>
      <c r="N272" s="63">
        <f t="shared" si="77"/>
        <v>30299.9</v>
      </c>
      <c r="O272" s="62"/>
      <c r="P272" s="76"/>
      <c r="Q272" s="77"/>
      <c r="R272" s="76"/>
      <c r="S272" s="77"/>
      <c r="T272" s="64"/>
      <c r="U272" s="45">
        <f t="shared" si="78"/>
        <v>30299.9</v>
      </c>
      <c r="V272" s="65"/>
    </row>
    <row r="273" spans="1:22" s="82" customFormat="1" ht="13.5" hidden="1">
      <c r="A273" s="52" t="s">
        <v>61</v>
      </c>
      <c r="B273" s="53">
        <v>11</v>
      </c>
      <c r="C273" s="54" t="s">
        <v>52</v>
      </c>
      <c r="D273" s="55" t="s">
        <v>515</v>
      </c>
      <c r="E273" s="56" t="s">
        <v>516</v>
      </c>
      <c r="F273" s="43">
        <v>27.031</v>
      </c>
      <c r="G273" s="57"/>
      <c r="H273" s="57"/>
      <c r="I273" s="58"/>
      <c r="J273" s="59">
        <f t="shared" si="75"/>
        <v>742.8502282779862</v>
      </c>
      <c r="K273" s="60">
        <v>0.9336178972540682</v>
      </c>
      <c r="L273" s="75">
        <v>1.0454815818002694</v>
      </c>
      <c r="M273" s="63">
        <f t="shared" si="76"/>
        <v>19173.4</v>
      </c>
      <c r="N273" s="63">
        <f t="shared" si="77"/>
        <v>17390.3</v>
      </c>
      <c r="O273" s="62"/>
      <c r="P273" s="76"/>
      <c r="Q273" s="77"/>
      <c r="R273" s="76"/>
      <c r="S273" s="77"/>
      <c r="T273" s="64"/>
      <c r="U273" s="45">
        <f t="shared" si="78"/>
        <v>17390.3</v>
      </c>
      <c r="V273" s="65"/>
    </row>
    <row r="274" spans="1:22" s="129" customFormat="1" ht="12.75" hidden="1">
      <c r="A274" s="52" t="s">
        <v>61</v>
      </c>
      <c r="B274" s="53">
        <v>12</v>
      </c>
      <c r="C274" s="54" t="s">
        <v>52</v>
      </c>
      <c r="D274" s="55" t="s">
        <v>517</v>
      </c>
      <c r="E274" s="56" t="s">
        <v>518</v>
      </c>
      <c r="F274" s="43">
        <v>57.755</v>
      </c>
      <c r="G274" s="57"/>
      <c r="H274" s="57"/>
      <c r="I274" s="58"/>
      <c r="J274" s="59">
        <f t="shared" si="75"/>
        <v>742.8502282779862</v>
      </c>
      <c r="K274" s="60">
        <v>0.9336178972540682</v>
      </c>
      <c r="L274" s="75">
        <v>1.0349882790470344</v>
      </c>
      <c r="M274" s="63">
        <f t="shared" si="76"/>
        <v>40756</v>
      </c>
      <c r="N274" s="63">
        <f t="shared" si="77"/>
        <v>36965.7</v>
      </c>
      <c r="O274" s="62"/>
      <c r="P274" s="76"/>
      <c r="Q274" s="77"/>
      <c r="R274" s="76"/>
      <c r="S274" s="77"/>
      <c r="T274" s="64"/>
      <c r="U274" s="45">
        <f t="shared" si="78"/>
        <v>36965.7</v>
      </c>
      <c r="V274" s="65"/>
    </row>
    <row r="275" spans="1:22" ht="12.75" hidden="1">
      <c r="A275" s="52" t="s">
        <v>61</v>
      </c>
      <c r="B275" s="53">
        <v>13</v>
      </c>
      <c r="C275" s="54" t="s">
        <v>52</v>
      </c>
      <c r="D275" s="55" t="s">
        <v>519</v>
      </c>
      <c r="E275" s="56" t="s">
        <v>520</v>
      </c>
      <c r="F275" s="43">
        <v>40.425</v>
      </c>
      <c r="G275" s="57"/>
      <c r="H275" s="57"/>
      <c r="I275" s="58"/>
      <c r="J275" s="59">
        <f t="shared" si="75"/>
        <v>742.8502282779862</v>
      </c>
      <c r="K275" s="60">
        <v>0.9336178972540682</v>
      </c>
      <c r="L275" s="75">
        <v>1.0375583380375641</v>
      </c>
      <c r="M275" s="63">
        <f t="shared" si="76"/>
        <v>28562.8</v>
      </c>
      <c r="N275" s="63">
        <f t="shared" si="77"/>
        <v>25906.5</v>
      </c>
      <c r="O275" s="62"/>
      <c r="P275" s="76"/>
      <c r="Q275" s="77"/>
      <c r="R275" s="76"/>
      <c r="S275" s="77"/>
      <c r="T275" s="64"/>
      <c r="U275" s="45">
        <f t="shared" si="78"/>
        <v>25906.5</v>
      </c>
      <c r="V275" s="65"/>
    </row>
    <row r="276" spans="1:22" ht="25.5" hidden="1">
      <c r="A276" s="52" t="s">
        <v>61</v>
      </c>
      <c r="B276" s="53">
        <v>14</v>
      </c>
      <c r="C276" s="54" t="s">
        <v>52</v>
      </c>
      <c r="D276" s="55" t="s">
        <v>521</v>
      </c>
      <c r="E276" s="56" t="s">
        <v>522</v>
      </c>
      <c r="F276" s="43">
        <v>12.546</v>
      </c>
      <c r="G276" s="57"/>
      <c r="H276" s="57"/>
      <c r="I276" s="58"/>
      <c r="J276" s="59">
        <f t="shared" si="75"/>
        <v>742.8502282779862</v>
      </c>
      <c r="K276" s="60">
        <v>0.9336178972540682</v>
      </c>
      <c r="L276" s="75">
        <v>1.0576336677336777</v>
      </c>
      <c r="M276" s="63">
        <f t="shared" si="76"/>
        <v>8951.9</v>
      </c>
      <c r="N276" s="63">
        <f t="shared" si="77"/>
        <v>8119.4</v>
      </c>
      <c r="O276" s="62"/>
      <c r="P276" s="76"/>
      <c r="Q276" s="77"/>
      <c r="R276" s="76"/>
      <c r="S276" s="77"/>
      <c r="T276" s="64"/>
      <c r="U276" s="45">
        <f t="shared" si="78"/>
        <v>8119.4</v>
      </c>
      <c r="V276" s="65"/>
    </row>
    <row r="277" spans="1:22" ht="12.75" hidden="1">
      <c r="A277" s="52" t="s">
        <v>61</v>
      </c>
      <c r="B277" s="53">
        <v>15</v>
      </c>
      <c r="C277" s="54" t="s">
        <v>52</v>
      </c>
      <c r="D277" s="55" t="s">
        <v>523</v>
      </c>
      <c r="E277" s="56" t="s">
        <v>524</v>
      </c>
      <c r="F277" s="43">
        <v>49.749</v>
      </c>
      <c r="G277" s="57"/>
      <c r="H277" s="57"/>
      <c r="I277" s="58"/>
      <c r="J277" s="59">
        <f t="shared" si="75"/>
        <v>742.8502282779862</v>
      </c>
      <c r="K277" s="60">
        <v>0.9336178972540682</v>
      </c>
      <c r="L277" s="75">
        <v>0.9942310723814873</v>
      </c>
      <c r="M277" s="63">
        <f t="shared" si="76"/>
        <v>34403.3</v>
      </c>
      <c r="N277" s="63">
        <f t="shared" si="77"/>
        <v>31203.8</v>
      </c>
      <c r="O277" s="62"/>
      <c r="P277" s="76"/>
      <c r="Q277" s="77"/>
      <c r="R277" s="76"/>
      <c r="S277" s="77"/>
      <c r="T277" s="64"/>
      <c r="U277" s="45">
        <f t="shared" si="78"/>
        <v>31203.8</v>
      </c>
      <c r="V277" s="65"/>
    </row>
    <row r="278" spans="1:22" ht="12.75" hidden="1">
      <c r="A278" s="52" t="s">
        <v>61</v>
      </c>
      <c r="B278" s="53">
        <v>16</v>
      </c>
      <c r="C278" s="54" t="s">
        <v>52</v>
      </c>
      <c r="D278" s="55" t="s">
        <v>525</v>
      </c>
      <c r="E278" s="56" t="s">
        <v>526</v>
      </c>
      <c r="F278" s="43">
        <v>29.218</v>
      </c>
      <c r="G278" s="57"/>
      <c r="H278" s="57"/>
      <c r="I278" s="58"/>
      <c r="J278" s="59">
        <f t="shared" si="75"/>
        <v>742.8502282779862</v>
      </c>
      <c r="K278" s="60">
        <v>0.9336178972540682</v>
      </c>
      <c r="L278" s="75">
        <v>1.018338156700005</v>
      </c>
      <c r="M278" s="63">
        <f t="shared" si="76"/>
        <v>20449.6</v>
      </c>
      <c r="N278" s="63">
        <f t="shared" si="77"/>
        <v>18547.8</v>
      </c>
      <c r="O278" s="62"/>
      <c r="P278" s="76"/>
      <c r="Q278" s="77"/>
      <c r="R278" s="76"/>
      <c r="S278" s="77"/>
      <c r="T278" s="64"/>
      <c r="U278" s="45">
        <f t="shared" si="78"/>
        <v>18547.8</v>
      </c>
      <c r="V278" s="65"/>
    </row>
    <row r="279" spans="1:22" ht="12.75" hidden="1">
      <c r="A279" s="52" t="s">
        <v>61</v>
      </c>
      <c r="B279" s="53">
        <v>17</v>
      </c>
      <c r="C279" s="54" t="s">
        <v>52</v>
      </c>
      <c r="D279" s="55" t="s">
        <v>527</v>
      </c>
      <c r="E279" s="56" t="s">
        <v>528</v>
      </c>
      <c r="F279" s="43">
        <v>16.169</v>
      </c>
      <c r="G279" s="57"/>
      <c r="H279" s="57"/>
      <c r="I279" s="58"/>
      <c r="J279" s="59">
        <f t="shared" si="75"/>
        <v>742.8502282779862</v>
      </c>
      <c r="K279" s="60">
        <v>0.9336178972540682</v>
      </c>
      <c r="L279" s="75">
        <v>1.0267183823213355</v>
      </c>
      <c r="M279" s="63">
        <f t="shared" si="76"/>
        <v>11363.6</v>
      </c>
      <c r="N279" s="63">
        <f t="shared" si="77"/>
        <v>10306.8</v>
      </c>
      <c r="O279" s="62"/>
      <c r="P279" s="76"/>
      <c r="Q279" s="77"/>
      <c r="R279" s="76"/>
      <c r="S279" s="77"/>
      <c r="T279" s="64"/>
      <c r="U279" s="45">
        <f t="shared" si="78"/>
        <v>10306.8</v>
      </c>
      <c r="V279" s="65"/>
    </row>
    <row r="280" spans="1:22" ht="12.75" hidden="1">
      <c r="A280" s="52" t="s">
        <v>61</v>
      </c>
      <c r="B280" s="53">
        <v>18</v>
      </c>
      <c r="C280" s="54" t="s">
        <v>52</v>
      </c>
      <c r="D280" s="55" t="s">
        <v>529</v>
      </c>
      <c r="E280" s="56" t="s">
        <v>530</v>
      </c>
      <c r="F280" s="43">
        <v>40.468</v>
      </c>
      <c r="G280" s="57"/>
      <c r="H280" s="57"/>
      <c r="I280" s="58"/>
      <c r="J280" s="59">
        <f t="shared" si="75"/>
        <v>742.8502282779862</v>
      </c>
      <c r="K280" s="60">
        <v>0.9336178972540682</v>
      </c>
      <c r="L280" s="75">
        <v>1.037672471702859</v>
      </c>
      <c r="M280" s="63">
        <f t="shared" si="76"/>
        <v>28594.8</v>
      </c>
      <c r="N280" s="63">
        <f t="shared" si="77"/>
        <v>25935.5</v>
      </c>
      <c r="O280" s="62"/>
      <c r="P280" s="76"/>
      <c r="Q280" s="77"/>
      <c r="R280" s="76"/>
      <c r="S280" s="77"/>
      <c r="T280" s="64"/>
      <c r="U280" s="45">
        <f t="shared" si="78"/>
        <v>25935.5</v>
      </c>
      <c r="V280" s="65"/>
    </row>
    <row r="281" spans="1:22" ht="12.75" hidden="1">
      <c r="A281" s="52" t="s">
        <v>61</v>
      </c>
      <c r="B281" s="53">
        <v>19</v>
      </c>
      <c r="C281" s="54" t="s">
        <v>52</v>
      </c>
      <c r="D281" s="55" t="s">
        <v>531</v>
      </c>
      <c r="E281" s="56" t="s">
        <v>532</v>
      </c>
      <c r="F281" s="43">
        <v>34.801</v>
      </c>
      <c r="G281" s="57"/>
      <c r="H281" s="57"/>
      <c r="I281" s="58"/>
      <c r="J281" s="59">
        <f t="shared" si="75"/>
        <v>742.8502282779862</v>
      </c>
      <c r="K281" s="60">
        <v>0.9336178972540682</v>
      </c>
      <c r="L281" s="75">
        <v>1.0172698092965524</v>
      </c>
      <c r="M281" s="63">
        <f t="shared" si="76"/>
        <v>24344.2</v>
      </c>
      <c r="N281" s="63">
        <f t="shared" si="77"/>
        <v>22080.2</v>
      </c>
      <c r="O281" s="62"/>
      <c r="P281" s="76"/>
      <c r="Q281" s="77"/>
      <c r="R281" s="76"/>
      <c r="S281" s="77"/>
      <c r="T281" s="64"/>
      <c r="U281" s="45">
        <f t="shared" si="78"/>
        <v>22080.2</v>
      </c>
      <c r="V281" s="65"/>
    </row>
    <row r="282" spans="1:22" ht="12.75" hidden="1">
      <c r="A282" s="52" t="s">
        <v>61</v>
      </c>
      <c r="B282" s="53">
        <v>20</v>
      </c>
      <c r="C282" s="54" t="s">
        <v>52</v>
      </c>
      <c r="D282" s="55" t="s">
        <v>533</v>
      </c>
      <c r="E282" s="56" t="s">
        <v>534</v>
      </c>
      <c r="F282" s="43">
        <v>27.601</v>
      </c>
      <c r="G282" s="57"/>
      <c r="H282" s="57"/>
      <c r="I282" s="58"/>
      <c r="J282" s="59">
        <f t="shared" si="75"/>
        <v>742.8502282779862</v>
      </c>
      <c r="K282" s="60">
        <v>0.9336178972540682</v>
      </c>
      <c r="L282" s="75">
        <v>1.0254258470825255</v>
      </c>
      <c r="M282" s="63">
        <f t="shared" si="76"/>
        <v>19385.7</v>
      </c>
      <c r="N282" s="63">
        <f t="shared" si="77"/>
        <v>17582.8</v>
      </c>
      <c r="O282" s="62"/>
      <c r="P282" s="76"/>
      <c r="Q282" s="77"/>
      <c r="R282" s="76"/>
      <c r="S282" s="77"/>
      <c r="T282" s="64"/>
      <c r="U282" s="45">
        <f t="shared" si="78"/>
        <v>17582.8</v>
      </c>
      <c r="V282" s="65"/>
    </row>
    <row r="283" spans="1:22" ht="12.75" hidden="1">
      <c r="A283" s="52" t="s">
        <v>61</v>
      </c>
      <c r="B283" s="53">
        <v>21</v>
      </c>
      <c r="C283" s="54" t="s">
        <v>52</v>
      </c>
      <c r="D283" s="55" t="s">
        <v>535</v>
      </c>
      <c r="E283" s="56" t="s">
        <v>536</v>
      </c>
      <c r="F283" s="43">
        <v>30.286</v>
      </c>
      <c r="G283" s="57"/>
      <c r="H283" s="57"/>
      <c r="I283" s="58"/>
      <c r="J283" s="59">
        <f t="shared" si="75"/>
        <v>742.8502282779862</v>
      </c>
      <c r="K283" s="60">
        <v>0.9336178972540682</v>
      </c>
      <c r="L283" s="75">
        <v>1.0321983376952317</v>
      </c>
      <c r="M283" s="63">
        <f t="shared" si="76"/>
        <v>21342.7</v>
      </c>
      <c r="N283" s="63">
        <f t="shared" si="77"/>
        <v>19357.8</v>
      </c>
      <c r="O283" s="62"/>
      <c r="P283" s="76"/>
      <c r="Q283" s="77"/>
      <c r="R283" s="76"/>
      <c r="S283" s="77"/>
      <c r="T283" s="64"/>
      <c r="U283" s="45">
        <f t="shared" si="78"/>
        <v>19357.8</v>
      </c>
      <c r="V283" s="65"/>
    </row>
    <row r="284" spans="1:22" ht="12.75" hidden="1">
      <c r="A284" s="52" t="s">
        <v>61</v>
      </c>
      <c r="B284" s="53">
        <v>22</v>
      </c>
      <c r="C284" s="54" t="s">
        <v>52</v>
      </c>
      <c r="D284" s="55" t="s">
        <v>537</v>
      </c>
      <c r="E284" s="56" t="s">
        <v>538</v>
      </c>
      <c r="F284" s="43">
        <v>8.931</v>
      </c>
      <c r="G284" s="57"/>
      <c r="H284" s="57"/>
      <c r="I284" s="58"/>
      <c r="J284" s="59">
        <f t="shared" si="75"/>
        <v>742.8502282779862</v>
      </c>
      <c r="K284" s="60">
        <v>0.9336178972540682</v>
      </c>
      <c r="L284" s="75">
        <v>1.0634929119351646</v>
      </c>
      <c r="M284" s="63">
        <f t="shared" si="76"/>
        <v>6390.6</v>
      </c>
      <c r="N284" s="63">
        <f t="shared" si="77"/>
        <v>5796.3</v>
      </c>
      <c r="O284" s="62"/>
      <c r="P284" s="76"/>
      <c r="Q284" s="77"/>
      <c r="R284" s="76"/>
      <c r="S284" s="77"/>
      <c r="T284" s="64"/>
      <c r="U284" s="45">
        <f t="shared" si="78"/>
        <v>5796.3</v>
      </c>
      <c r="V284" s="65"/>
    </row>
    <row r="285" spans="1:22" ht="12.75" hidden="1">
      <c r="A285" s="52" t="s">
        <v>61</v>
      </c>
      <c r="B285" s="53">
        <v>23</v>
      </c>
      <c r="C285" s="54" t="s">
        <v>52</v>
      </c>
      <c r="D285" s="55" t="s">
        <v>539</v>
      </c>
      <c r="E285" s="56" t="s">
        <v>540</v>
      </c>
      <c r="F285" s="43">
        <v>22.649</v>
      </c>
      <c r="G285" s="57"/>
      <c r="H285" s="57"/>
      <c r="I285" s="58"/>
      <c r="J285" s="59">
        <f t="shared" si="75"/>
        <v>742.8502282779862</v>
      </c>
      <c r="K285" s="60">
        <v>0.9336178972540682</v>
      </c>
      <c r="L285" s="75">
        <v>1.0308844335366476</v>
      </c>
      <c r="M285" s="63">
        <f t="shared" si="76"/>
        <v>15950.5</v>
      </c>
      <c r="N285" s="63">
        <f t="shared" si="77"/>
        <v>14467.1</v>
      </c>
      <c r="O285" s="62"/>
      <c r="P285" s="76"/>
      <c r="Q285" s="77"/>
      <c r="R285" s="76"/>
      <c r="S285" s="77"/>
      <c r="T285" s="64"/>
      <c r="U285" s="45">
        <f t="shared" si="78"/>
        <v>14467.1</v>
      </c>
      <c r="V285" s="65"/>
    </row>
    <row r="286" spans="1:22" ht="12.75" hidden="1">
      <c r="A286" s="52" t="s">
        <v>61</v>
      </c>
      <c r="B286" s="53">
        <v>24</v>
      </c>
      <c r="C286" s="54" t="s">
        <v>52</v>
      </c>
      <c r="D286" s="55" t="s">
        <v>541</v>
      </c>
      <c r="E286" s="56" t="s">
        <v>542</v>
      </c>
      <c r="F286" s="43">
        <v>17.301</v>
      </c>
      <c r="G286" s="57"/>
      <c r="H286" s="57"/>
      <c r="I286" s="58"/>
      <c r="J286" s="59">
        <f t="shared" si="75"/>
        <v>742.8502282779862</v>
      </c>
      <c r="K286" s="60">
        <v>0.9336178972540682</v>
      </c>
      <c r="L286" s="75">
        <v>1.0310295831065914</v>
      </c>
      <c r="M286" s="63">
        <f t="shared" si="76"/>
        <v>12185.1</v>
      </c>
      <c r="N286" s="63">
        <f t="shared" si="77"/>
        <v>11051.9</v>
      </c>
      <c r="O286" s="62"/>
      <c r="P286" s="76"/>
      <c r="Q286" s="77"/>
      <c r="R286" s="76"/>
      <c r="S286" s="77"/>
      <c r="T286" s="64"/>
      <c r="U286" s="45">
        <f t="shared" si="78"/>
        <v>11051.9</v>
      </c>
      <c r="V286" s="65"/>
    </row>
    <row r="287" spans="1:22" ht="12.75" hidden="1">
      <c r="A287" s="52" t="s">
        <v>61</v>
      </c>
      <c r="B287" s="53">
        <v>25</v>
      </c>
      <c r="C287" s="54" t="s">
        <v>52</v>
      </c>
      <c r="D287" s="55" t="s">
        <v>543</v>
      </c>
      <c r="E287" s="56" t="s">
        <v>544</v>
      </c>
      <c r="F287" s="43">
        <v>33.906</v>
      </c>
      <c r="G287" s="57"/>
      <c r="H287" s="57"/>
      <c r="I287" s="58"/>
      <c r="J287" s="59">
        <f t="shared" si="75"/>
        <v>742.8502282779862</v>
      </c>
      <c r="K287" s="60">
        <v>0.9336178972540682</v>
      </c>
      <c r="L287" s="75">
        <v>1.0059495210231264</v>
      </c>
      <c r="M287" s="63">
        <f t="shared" si="76"/>
        <v>23585.1</v>
      </c>
      <c r="N287" s="63">
        <f t="shared" si="77"/>
        <v>21391.7</v>
      </c>
      <c r="O287" s="62"/>
      <c r="P287" s="76"/>
      <c r="Q287" s="77"/>
      <c r="R287" s="76"/>
      <c r="S287" s="77"/>
      <c r="T287" s="64"/>
      <c r="U287" s="45">
        <f t="shared" si="78"/>
        <v>21391.7</v>
      </c>
      <c r="V287" s="65"/>
    </row>
    <row r="288" spans="1:22" s="154" customFormat="1" ht="26.25" hidden="1">
      <c r="A288" s="38" t="s">
        <v>61</v>
      </c>
      <c r="B288" s="39" t="s">
        <v>26</v>
      </c>
      <c r="C288" s="40" t="s">
        <v>111</v>
      </c>
      <c r="D288" s="148"/>
      <c r="E288" s="79" t="s">
        <v>112</v>
      </c>
      <c r="F288" s="43">
        <f>SUM(F289:F294)</f>
        <v>39.010999999999996</v>
      </c>
      <c r="G288" s="149">
        <f>SUM(G289:G294)</f>
        <v>0</v>
      </c>
      <c r="H288" s="149">
        <f>SUM(H289:H294)</f>
        <v>0</v>
      </c>
      <c r="I288" s="150"/>
      <c r="J288" s="151"/>
      <c r="K288" s="150"/>
      <c r="L288" s="152">
        <v>0</v>
      </c>
      <c r="M288" s="85">
        <f aca="true" t="shared" si="79" ref="M288:U288">SUM(M289:M294)</f>
        <v>27470.7</v>
      </c>
      <c r="N288" s="85">
        <f t="shared" si="79"/>
        <v>24915.8</v>
      </c>
      <c r="O288" s="85">
        <f t="shared" si="79"/>
        <v>0</v>
      </c>
      <c r="P288" s="85">
        <f t="shared" si="79"/>
        <v>0</v>
      </c>
      <c r="Q288" s="85">
        <f t="shared" si="79"/>
        <v>0</v>
      </c>
      <c r="R288" s="85">
        <f t="shared" si="79"/>
        <v>0</v>
      </c>
      <c r="S288" s="85">
        <f t="shared" si="79"/>
        <v>0</v>
      </c>
      <c r="T288" s="85">
        <f t="shared" si="79"/>
        <v>0</v>
      </c>
      <c r="U288" s="85">
        <f t="shared" si="79"/>
        <v>24915.8</v>
      </c>
      <c r="V288" s="153"/>
    </row>
    <row r="289" spans="1:22" s="82" customFormat="1" ht="26.25" hidden="1">
      <c r="A289" s="52" t="s">
        <v>61</v>
      </c>
      <c r="B289" s="53">
        <v>26</v>
      </c>
      <c r="C289" s="54" t="s">
        <v>113</v>
      </c>
      <c r="D289" s="55" t="s">
        <v>545</v>
      </c>
      <c r="E289" s="56" t="s">
        <v>546</v>
      </c>
      <c r="F289" s="43">
        <v>4.751</v>
      </c>
      <c r="G289" s="57"/>
      <c r="H289" s="57"/>
      <c r="I289" s="58"/>
      <c r="J289" s="59">
        <f aca="true" t="shared" si="80" ref="J289:J294">+($F$7-$O$952-$Q$952-$P$952-$R$952-$S$952)/($F$952-$G$952*1-$H$952*0.5)*0.646*1.0268514</f>
        <v>742.8502282779862</v>
      </c>
      <c r="K289" s="60">
        <v>0.9336178972540682</v>
      </c>
      <c r="L289" s="75">
        <v>1.0406981223413292</v>
      </c>
      <c r="M289" s="63">
        <f aca="true" t="shared" si="81" ref="M289:M294">ROUND(J289*(F289-G289-H289*I289)*K289*(0.5+0.5*L289),1)</f>
        <v>3362.1</v>
      </c>
      <c r="N289" s="63">
        <f aca="true" t="shared" si="82" ref="N289:N294">ROUND(M289*0.907,1)</f>
        <v>3049.4</v>
      </c>
      <c r="O289" s="62"/>
      <c r="P289" s="76"/>
      <c r="Q289" s="77"/>
      <c r="R289" s="76"/>
      <c r="S289" s="77"/>
      <c r="T289" s="64"/>
      <c r="U289" s="45">
        <f aca="true" t="shared" si="83" ref="U289:U294">+N289+O289+T289+R289+S289+Q289</f>
        <v>3049.4</v>
      </c>
      <c r="V289" s="65"/>
    </row>
    <row r="290" spans="1:22" s="129" customFormat="1" ht="25.5" hidden="1">
      <c r="A290" s="52" t="s">
        <v>61</v>
      </c>
      <c r="B290" s="53">
        <v>27</v>
      </c>
      <c r="C290" s="54" t="s">
        <v>113</v>
      </c>
      <c r="D290" s="55" t="s">
        <v>547</v>
      </c>
      <c r="E290" s="56" t="s">
        <v>548</v>
      </c>
      <c r="F290" s="43">
        <v>12.931</v>
      </c>
      <c r="G290" s="57"/>
      <c r="H290" s="57"/>
      <c r="I290" s="58"/>
      <c r="J290" s="59">
        <f t="shared" si="80"/>
        <v>742.8502282779862</v>
      </c>
      <c r="K290" s="60">
        <v>0.9336178972540682</v>
      </c>
      <c r="L290" s="75">
        <v>1.0091512100548155</v>
      </c>
      <c r="M290" s="63">
        <f t="shared" si="81"/>
        <v>9009.2</v>
      </c>
      <c r="N290" s="63">
        <f t="shared" si="82"/>
        <v>8171.3</v>
      </c>
      <c r="O290" s="62"/>
      <c r="P290" s="76"/>
      <c r="Q290" s="77"/>
      <c r="R290" s="76"/>
      <c r="S290" s="77"/>
      <c r="T290" s="64"/>
      <c r="U290" s="45">
        <f t="shared" si="83"/>
        <v>8171.3</v>
      </c>
      <c r="V290" s="65"/>
    </row>
    <row r="291" spans="1:22" s="91" customFormat="1" ht="38.25" hidden="1">
      <c r="A291" s="52" t="s">
        <v>61</v>
      </c>
      <c r="B291" s="53">
        <v>28</v>
      </c>
      <c r="C291" s="54" t="s">
        <v>113</v>
      </c>
      <c r="D291" s="55" t="s">
        <v>549</v>
      </c>
      <c r="E291" s="56" t="s">
        <v>550</v>
      </c>
      <c r="F291" s="43">
        <v>6.466</v>
      </c>
      <c r="G291" s="57"/>
      <c r="H291" s="57"/>
      <c r="I291" s="58"/>
      <c r="J291" s="59">
        <f t="shared" si="80"/>
        <v>742.8502282779862</v>
      </c>
      <c r="K291" s="60">
        <v>0.9336178972540682</v>
      </c>
      <c r="L291" s="75">
        <v>1.0576336677336777</v>
      </c>
      <c r="M291" s="63">
        <f t="shared" si="81"/>
        <v>4613.6</v>
      </c>
      <c r="N291" s="63">
        <f t="shared" si="82"/>
        <v>4184.5</v>
      </c>
      <c r="O291" s="62"/>
      <c r="P291" s="76"/>
      <c r="Q291" s="77"/>
      <c r="R291" s="76"/>
      <c r="S291" s="77"/>
      <c r="T291" s="64"/>
      <c r="U291" s="45">
        <f t="shared" si="83"/>
        <v>4184.5</v>
      </c>
      <c r="V291" s="65"/>
    </row>
    <row r="292" spans="1:22" s="155" customFormat="1" ht="25.5" hidden="1">
      <c r="A292" s="52" t="s">
        <v>61</v>
      </c>
      <c r="B292" s="53">
        <v>29</v>
      </c>
      <c r="C292" s="54" t="s">
        <v>113</v>
      </c>
      <c r="D292" s="55" t="s">
        <v>551</v>
      </c>
      <c r="E292" s="56" t="s">
        <v>552</v>
      </c>
      <c r="F292" s="43">
        <v>5.723</v>
      </c>
      <c r="G292" s="57"/>
      <c r="H292" s="57"/>
      <c r="I292" s="58"/>
      <c r="J292" s="59">
        <f t="shared" si="80"/>
        <v>742.8502282779862</v>
      </c>
      <c r="K292" s="60">
        <v>0.9336178972540682</v>
      </c>
      <c r="L292" s="75">
        <v>1.037672471702859</v>
      </c>
      <c r="M292" s="63">
        <f t="shared" si="81"/>
        <v>4043.9</v>
      </c>
      <c r="N292" s="63">
        <f t="shared" si="82"/>
        <v>3667.8</v>
      </c>
      <c r="O292" s="62"/>
      <c r="P292" s="76"/>
      <c r="Q292" s="77"/>
      <c r="R292" s="76"/>
      <c r="S292" s="77"/>
      <c r="T292" s="64"/>
      <c r="U292" s="45">
        <f t="shared" si="83"/>
        <v>3667.8</v>
      </c>
      <c r="V292" s="65"/>
    </row>
    <row r="293" spans="1:22" ht="38.25" hidden="1">
      <c r="A293" s="52" t="s">
        <v>61</v>
      </c>
      <c r="B293" s="53">
        <v>30</v>
      </c>
      <c r="C293" s="54" t="s">
        <v>113</v>
      </c>
      <c r="D293" s="55" t="s">
        <v>553</v>
      </c>
      <c r="E293" s="56" t="s">
        <v>554</v>
      </c>
      <c r="F293" s="43">
        <v>3.445</v>
      </c>
      <c r="G293" s="57"/>
      <c r="H293" s="57"/>
      <c r="I293" s="58"/>
      <c r="J293" s="59">
        <f t="shared" si="80"/>
        <v>742.8502282779862</v>
      </c>
      <c r="K293" s="60">
        <v>0.9336178972540682</v>
      </c>
      <c r="L293" s="75">
        <v>1.0576336677336777</v>
      </c>
      <c r="M293" s="63">
        <f t="shared" si="81"/>
        <v>2458.1</v>
      </c>
      <c r="N293" s="63">
        <f t="shared" si="82"/>
        <v>2229.5</v>
      </c>
      <c r="O293" s="62"/>
      <c r="P293" s="76"/>
      <c r="Q293" s="77"/>
      <c r="R293" s="76"/>
      <c r="S293" s="77"/>
      <c r="T293" s="64"/>
      <c r="U293" s="45">
        <f t="shared" si="83"/>
        <v>2229.5</v>
      </c>
      <c r="V293" s="65"/>
    </row>
    <row r="294" spans="1:22" ht="25.5" hidden="1">
      <c r="A294" s="52" t="s">
        <v>61</v>
      </c>
      <c r="B294" s="53">
        <v>31</v>
      </c>
      <c r="C294" s="54" t="s">
        <v>113</v>
      </c>
      <c r="D294" s="55" t="s">
        <v>555</v>
      </c>
      <c r="E294" s="56" t="s">
        <v>556</v>
      </c>
      <c r="F294" s="43">
        <v>5.695</v>
      </c>
      <c r="G294" s="57"/>
      <c r="H294" s="57"/>
      <c r="I294" s="58"/>
      <c r="J294" s="59">
        <f t="shared" si="80"/>
        <v>742.8502282779862</v>
      </c>
      <c r="K294" s="60">
        <v>0.9336178972540682</v>
      </c>
      <c r="L294" s="75">
        <v>1.0172698092965524</v>
      </c>
      <c r="M294" s="63">
        <f t="shared" si="81"/>
        <v>3983.8</v>
      </c>
      <c r="N294" s="63">
        <f t="shared" si="82"/>
        <v>3613.3</v>
      </c>
      <c r="O294" s="62"/>
      <c r="P294" s="76"/>
      <c r="Q294" s="77"/>
      <c r="R294" s="76"/>
      <c r="S294" s="77"/>
      <c r="T294" s="64"/>
      <c r="U294" s="45">
        <f t="shared" si="83"/>
        <v>3613.3</v>
      </c>
      <c r="V294" s="65"/>
    </row>
    <row r="295" spans="1:22" ht="25.5" hidden="1">
      <c r="A295" s="38" t="s">
        <v>64</v>
      </c>
      <c r="B295" s="39" t="s">
        <v>26</v>
      </c>
      <c r="C295" s="40" t="s">
        <v>27</v>
      </c>
      <c r="D295" s="55"/>
      <c r="E295" s="127" t="s">
        <v>557</v>
      </c>
      <c r="F295" s="43">
        <f>F296+F297+F304+F319</f>
        <v>1382.352</v>
      </c>
      <c r="G295" s="44">
        <f>+G296+G297+G304+G319</f>
        <v>0</v>
      </c>
      <c r="H295" s="44">
        <f>+H296+H297+H304+H319</f>
        <v>0</v>
      </c>
      <c r="I295" s="45"/>
      <c r="J295" s="46"/>
      <c r="K295" s="47"/>
      <c r="L295" s="48">
        <v>0.9748782999080909</v>
      </c>
      <c r="M295" s="49">
        <f aca="true" t="shared" si="84" ref="M295:U295">+M296+M297+M304+M319</f>
        <v>1502873.9</v>
      </c>
      <c r="N295" s="49">
        <f t="shared" si="84"/>
        <v>1502873.9</v>
      </c>
      <c r="O295" s="49">
        <f t="shared" si="84"/>
        <v>69103.7</v>
      </c>
      <c r="P295" s="49">
        <f t="shared" si="84"/>
        <v>151.3</v>
      </c>
      <c r="Q295" s="49">
        <f t="shared" si="84"/>
        <v>18365.3</v>
      </c>
      <c r="R295" s="49">
        <f t="shared" si="84"/>
        <v>71433.7</v>
      </c>
      <c r="S295" s="49">
        <f t="shared" si="84"/>
        <v>122.4</v>
      </c>
      <c r="T295" s="49">
        <f t="shared" si="84"/>
        <v>0</v>
      </c>
      <c r="U295" s="49">
        <f t="shared" si="84"/>
        <v>1662050.3</v>
      </c>
      <c r="V295" s="65"/>
    </row>
    <row r="296" spans="1:22" ht="12.75" hidden="1">
      <c r="A296" s="52" t="s">
        <v>64</v>
      </c>
      <c r="B296" s="53" t="s">
        <v>26</v>
      </c>
      <c r="C296" s="54" t="s">
        <v>29</v>
      </c>
      <c r="D296" s="55" t="s">
        <v>558</v>
      </c>
      <c r="E296" s="56" t="s">
        <v>31</v>
      </c>
      <c r="F296" s="43">
        <v>0</v>
      </c>
      <c r="G296" s="128"/>
      <c r="H296" s="128"/>
      <c r="I296" s="58"/>
      <c r="J296" s="59">
        <f>+($F$7-$O$952-$Q$952-$P$952-R$952-$S$952)/$F$952*0.354*0.951</f>
        <v>376.76602120660414</v>
      </c>
      <c r="K296" s="60">
        <v>0</v>
      </c>
      <c r="L296" s="48">
        <v>0.9748782999080909</v>
      </c>
      <c r="M296" s="49">
        <f>ROUND(J296*(F297+F304+F319)*(0.5+0.5*L296),1)</f>
        <v>514281.3</v>
      </c>
      <c r="N296" s="63">
        <f>M296+ROUND(SUM(M298:M303)*0.117+SUM(M305:M318)*0.093+SUM(M320:M323)*0.093,1)-0.1</f>
        <v>614374.6</v>
      </c>
      <c r="O296" s="62">
        <v>5826.3</v>
      </c>
      <c r="P296" s="62">
        <v>151.3</v>
      </c>
      <c r="Q296" s="63">
        <v>18365.3</v>
      </c>
      <c r="R296" s="62">
        <v>71433.7</v>
      </c>
      <c r="S296" s="63">
        <v>122.4</v>
      </c>
      <c r="T296" s="64"/>
      <c r="U296" s="45">
        <f>N296+O296+P296+Q296+R296+S296+T296</f>
        <v>710273.6000000001</v>
      </c>
      <c r="V296" s="65"/>
    </row>
    <row r="297" spans="1:22" ht="13.5" hidden="1">
      <c r="A297" s="38" t="s">
        <v>64</v>
      </c>
      <c r="B297" s="39" t="s">
        <v>26</v>
      </c>
      <c r="C297" s="40" t="s">
        <v>33</v>
      </c>
      <c r="D297" s="55"/>
      <c r="E297" s="79" t="s">
        <v>34</v>
      </c>
      <c r="F297" s="43">
        <f>SUM(F298:F303)</f>
        <v>440.61499999999995</v>
      </c>
      <c r="G297" s="67">
        <f>SUM(G298:G303)</f>
        <v>0</v>
      </c>
      <c r="H297" s="68">
        <f>SUM(H298:H303)</f>
        <v>0</v>
      </c>
      <c r="I297" s="69"/>
      <c r="J297" s="59"/>
      <c r="K297" s="70"/>
      <c r="L297" s="71">
        <v>0.9490261564909257</v>
      </c>
      <c r="M297" s="72">
        <f aca="true" t="shared" si="85" ref="M297:U297">SUM(M298:M303)</f>
        <v>339760.1999999999</v>
      </c>
      <c r="N297" s="72">
        <f t="shared" si="85"/>
        <v>300008.2</v>
      </c>
      <c r="O297" s="72">
        <f t="shared" si="85"/>
        <v>6788.9</v>
      </c>
      <c r="P297" s="72">
        <f t="shared" si="85"/>
        <v>0</v>
      </c>
      <c r="Q297" s="72">
        <f t="shared" si="85"/>
        <v>0</v>
      </c>
      <c r="R297" s="72">
        <f t="shared" si="85"/>
        <v>0</v>
      </c>
      <c r="S297" s="72">
        <f t="shared" si="85"/>
        <v>0</v>
      </c>
      <c r="T297" s="72">
        <f t="shared" si="85"/>
        <v>0</v>
      </c>
      <c r="U297" s="72">
        <f t="shared" si="85"/>
        <v>306797.1</v>
      </c>
      <c r="V297" s="73"/>
    </row>
    <row r="298" spans="1:22" ht="12.75" hidden="1">
      <c r="A298" s="52" t="s">
        <v>64</v>
      </c>
      <c r="B298" s="53" t="s">
        <v>35</v>
      </c>
      <c r="C298" s="54" t="s">
        <v>36</v>
      </c>
      <c r="D298" s="55" t="s">
        <v>559</v>
      </c>
      <c r="E298" s="74" t="s">
        <v>560</v>
      </c>
      <c r="F298" s="43">
        <v>251.509</v>
      </c>
      <c r="G298" s="57"/>
      <c r="H298" s="57"/>
      <c r="I298" s="58"/>
      <c r="J298" s="59">
        <f aca="true" t="shared" si="86" ref="J298:J303">+($F$7-$O$952-$Q$952-$P$952-$R$952-$S$952)/($F$952-$G$952*1-$H$952*0.5)*0.646*1.0268514</f>
        <v>742.8502282779862</v>
      </c>
      <c r="K298" s="60">
        <v>1.065228053001168</v>
      </c>
      <c r="L298" s="75">
        <v>0.9343389559204344</v>
      </c>
      <c r="M298" s="63">
        <f aca="true" t="shared" si="87" ref="M298:M303">ROUND(J298*(F298-G298-H298*I298)*K298*(0.5+0.5*L298),1)</f>
        <v>192486.4</v>
      </c>
      <c r="N298" s="63">
        <f aca="true" t="shared" si="88" ref="N298:N303">ROUND(M298*0.883,1)</f>
        <v>169965.5</v>
      </c>
      <c r="O298" s="62"/>
      <c r="P298" s="76"/>
      <c r="Q298" s="77"/>
      <c r="R298" s="76"/>
      <c r="S298" s="77"/>
      <c r="T298" s="64"/>
      <c r="U298" s="45">
        <f aca="true" t="shared" si="89" ref="U298:U303">+N298+O298+T298+R298+S298+Q298</f>
        <v>169965.5</v>
      </c>
      <c r="V298" s="65"/>
    </row>
    <row r="299" spans="1:22" ht="12.75" hidden="1">
      <c r="A299" s="52" t="s">
        <v>64</v>
      </c>
      <c r="B299" s="53" t="s">
        <v>32</v>
      </c>
      <c r="C299" s="54" t="s">
        <v>36</v>
      </c>
      <c r="D299" s="55" t="s">
        <v>561</v>
      </c>
      <c r="E299" s="78" t="s">
        <v>562</v>
      </c>
      <c r="F299" s="43">
        <v>21.61</v>
      </c>
      <c r="G299" s="57"/>
      <c r="H299" s="57"/>
      <c r="I299" s="58"/>
      <c r="J299" s="59">
        <f t="shared" si="86"/>
        <v>742.8502282779862</v>
      </c>
      <c r="K299" s="60">
        <v>1.065228053001168</v>
      </c>
      <c r="L299" s="75">
        <v>0.9726535006654906</v>
      </c>
      <c r="M299" s="63">
        <f t="shared" si="87"/>
        <v>16866.3</v>
      </c>
      <c r="N299" s="63">
        <f t="shared" si="88"/>
        <v>14892.9</v>
      </c>
      <c r="O299" s="62">
        <v>2689.2</v>
      </c>
      <c r="P299" s="76"/>
      <c r="Q299" s="77"/>
      <c r="R299" s="76"/>
      <c r="S299" s="77"/>
      <c r="T299" s="64"/>
      <c r="U299" s="45">
        <f t="shared" si="89"/>
        <v>17582.1</v>
      </c>
      <c r="V299" s="65"/>
    </row>
    <row r="300" spans="1:22" ht="12.75" hidden="1">
      <c r="A300" s="52" t="s">
        <v>64</v>
      </c>
      <c r="B300" s="53" t="s">
        <v>118</v>
      </c>
      <c r="C300" s="54" t="s">
        <v>36</v>
      </c>
      <c r="D300" s="55" t="s">
        <v>563</v>
      </c>
      <c r="E300" s="78" t="s">
        <v>564</v>
      </c>
      <c r="F300" s="43">
        <v>67.519</v>
      </c>
      <c r="G300" s="57"/>
      <c r="H300" s="57"/>
      <c r="I300" s="58"/>
      <c r="J300" s="59">
        <f t="shared" si="86"/>
        <v>742.8502282779862</v>
      </c>
      <c r="K300" s="60">
        <v>1.065228053001168</v>
      </c>
      <c r="L300" s="75">
        <v>0.9795198597864477</v>
      </c>
      <c r="M300" s="63">
        <f t="shared" si="87"/>
        <v>52881</v>
      </c>
      <c r="N300" s="63">
        <f t="shared" si="88"/>
        <v>46693.9</v>
      </c>
      <c r="O300" s="62"/>
      <c r="P300" s="76"/>
      <c r="Q300" s="77"/>
      <c r="R300" s="76"/>
      <c r="S300" s="77"/>
      <c r="T300" s="64"/>
      <c r="U300" s="45">
        <f t="shared" si="89"/>
        <v>46693.9</v>
      </c>
      <c r="V300" s="65"/>
    </row>
    <row r="301" spans="1:22" ht="12.75" hidden="1">
      <c r="A301" s="52" t="s">
        <v>64</v>
      </c>
      <c r="B301" s="53" t="s">
        <v>127</v>
      </c>
      <c r="C301" s="54" t="s">
        <v>36</v>
      </c>
      <c r="D301" s="55" t="s">
        <v>565</v>
      </c>
      <c r="E301" s="78" t="s">
        <v>566</v>
      </c>
      <c r="F301" s="43">
        <v>61.21</v>
      </c>
      <c r="G301" s="57"/>
      <c r="H301" s="57"/>
      <c r="I301" s="58"/>
      <c r="J301" s="59">
        <f t="shared" si="86"/>
        <v>742.8502282779862</v>
      </c>
      <c r="K301" s="60">
        <v>1.065228053001168</v>
      </c>
      <c r="L301" s="75">
        <v>0.9588231085420124</v>
      </c>
      <c r="M301" s="63">
        <f t="shared" si="87"/>
        <v>47438.6</v>
      </c>
      <c r="N301" s="63">
        <f t="shared" si="88"/>
        <v>41888.3</v>
      </c>
      <c r="O301" s="62"/>
      <c r="P301" s="76"/>
      <c r="Q301" s="77"/>
      <c r="R301" s="76"/>
      <c r="S301" s="77"/>
      <c r="T301" s="64"/>
      <c r="U301" s="45">
        <f t="shared" si="89"/>
        <v>41888.3</v>
      </c>
      <c r="V301" s="65"/>
    </row>
    <row r="302" spans="1:22" ht="12.75" hidden="1">
      <c r="A302" s="52" t="s">
        <v>64</v>
      </c>
      <c r="B302" s="53" t="s">
        <v>51</v>
      </c>
      <c r="C302" s="54" t="s">
        <v>36</v>
      </c>
      <c r="D302" s="55" t="s">
        <v>567</v>
      </c>
      <c r="E302" s="78" t="s">
        <v>568</v>
      </c>
      <c r="F302" s="43">
        <v>23.127</v>
      </c>
      <c r="G302" s="57"/>
      <c r="H302" s="57"/>
      <c r="I302" s="58"/>
      <c r="J302" s="59">
        <f t="shared" si="86"/>
        <v>742.8502282779862</v>
      </c>
      <c r="K302" s="60">
        <v>1.065228053001168</v>
      </c>
      <c r="L302" s="75">
        <v>0.9486478089178025</v>
      </c>
      <c r="M302" s="63">
        <f t="shared" si="87"/>
        <v>17830.6</v>
      </c>
      <c r="N302" s="63">
        <f t="shared" si="88"/>
        <v>15744.4</v>
      </c>
      <c r="O302" s="62">
        <v>4099.7</v>
      </c>
      <c r="P302" s="76"/>
      <c r="Q302" s="77"/>
      <c r="R302" s="76"/>
      <c r="S302" s="77"/>
      <c r="T302" s="64"/>
      <c r="U302" s="45">
        <f t="shared" si="89"/>
        <v>19844.1</v>
      </c>
      <c r="V302" s="65"/>
    </row>
    <row r="303" spans="1:22" ht="12.75" hidden="1">
      <c r="A303" s="52" t="s">
        <v>64</v>
      </c>
      <c r="B303" s="53" t="s">
        <v>55</v>
      </c>
      <c r="C303" s="54" t="s">
        <v>36</v>
      </c>
      <c r="D303" s="55" t="s">
        <v>569</v>
      </c>
      <c r="E303" s="78" t="s">
        <v>570</v>
      </c>
      <c r="F303" s="43">
        <v>15.64</v>
      </c>
      <c r="G303" s="57"/>
      <c r="H303" s="57"/>
      <c r="I303" s="58"/>
      <c r="J303" s="59">
        <f t="shared" si="86"/>
        <v>742.8502282779862</v>
      </c>
      <c r="K303" s="60">
        <v>1.065228053001168</v>
      </c>
      <c r="L303" s="75">
        <v>0.9808212717405004</v>
      </c>
      <c r="M303" s="63">
        <f t="shared" si="87"/>
        <v>12257.3</v>
      </c>
      <c r="N303" s="63">
        <f t="shared" si="88"/>
        <v>10823.2</v>
      </c>
      <c r="O303" s="62"/>
      <c r="P303" s="76"/>
      <c r="Q303" s="77"/>
      <c r="R303" s="76"/>
      <c r="S303" s="77"/>
      <c r="T303" s="64"/>
      <c r="U303" s="45">
        <f t="shared" si="89"/>
        <v>10823.2</v>
      </c>
      <c r="V303" s="65"/>
    </row>
    <row r="304" spans="1:22" ht="32.25" customHeight="1" hidden="1">
      <c r="A304" s="38" t="s">
        <v>64</v>
      </c>
      <c r="B304" s="39" t="s">
        <v>26</v>
      </c>
      <c r="C304" s="40" t="s">
        <v>49</v>
      </c>
      <c r="D304" s="55"/>
      <c r="E304" s="79" t="s">
        <v>50</v>
      </c>
      <c r="F304" s="43">
        <f>SUM(F305:F318)</f>
        <v>904.634</v>
      </c>
      <c r="G304" s="67">
        <f>SUM(G305:G318)</f>
        <v>0</v>
      </c>
      <c r="H304" s="68">
        <f>SUM(H305:H318)</f>
        <v>0</v>
      </c>
      <c r="I304" s="69"/>
      <c r="J304" s="80"/>
      <c r="K304" s="70"/>
      <c r="L304" s="71">
        <v>0.9868525202048599</v>
      </c>
      <c r="M304" s="72">
        <f aca="true" t="shared" si="90" ref="M304:U304">SUM(M305:M318)</f>
        <v>623362.2000000001</v>
      </c>
      <c r="N304" s="72">
        <f t="shared" si="90"/>
        <v>565389.6</v>
      </c>
      <c r="O304" s="72">
        <f t="shared" si="90"/>
        <v>55316.5</v>
      </c>
      <c r="P304" s="72">
        <f t="shared" si="90"/>
        <v>0</v>
      </c>
      <c r="Q304" s="72">
        <f t="shared" si="90"/>
        <v>0</v>
      </c>
      <c r="R304" s="72">
        <f t="shared" si="90"/>
        <v>0</v>
      </c>
      <c r="S304" s="72">
        <f t="shared" si="90"/>
        <v>0</v>
      </c>
      <c r="T304" s="72">
        <f t="shared" si="90"/>
        <v>0</v>
      </c>
      <c r="U304" s="72">
        <f t="shared" si="90"/>
        <v>620706.1</v>
      </c>
      <c r="V304" s="73"/>
    </row>
    <row r="305" spans="1:22" s="82" customFormat="1" ht="13.5" hidden="1">
      <c r="A305" s="52" t="s">
        <v>64</v>
      </c>
      <c r="B305" s="53" t="s">
        <v>58</v>
      </c>
      <c r="C305" s="54" t="s">
        <v>52</v>
      </c>
      <c r="D305" s="55" t="s">
        <v>571</v>
      </c>
      <c r="E305" s="56" t="s">
        <v>572</v>
      </c>
      <c r="F305" s="43">
        <v>64.154</v>
      </c>
      <c r="G305" s="128"/>
      <c r="H305" s="128"/>
      <c r="I305" s="58"/>
      <c r="J305" s="59">
        <f aca="true" t="shared" si="91" ref="J305:J318">+($F$7-$O$952-$Q$952-$P$952-$R$952-$S$952)/($F$952-$G$952*1-$H$952*0.5)*0.646*1.0268514</f>
        <v>742.8502282779862</v>
      </c>
      <c r="K305" s="60">
        <v>0.9336178972540682</v>
      </c>
      <c r="L305" s="75">
        <v>0.9613976613235364</v>
      </c>
      <c r="M305" s="63">
        <f aca="true" t="shared" si="92" ref="M305:M318">ROUND(J305*(F305-G305-H305*I305)*K305*(0.5+0.5*L305),1)</f>
        <v>43634.5</v>
      </c>
      <c r="N305" s="63">
        <f aca="true" t="shared" si="93" ref="N305:N318">ROUND(M305*0.907,1)</f>
        <v>39576.5</v>
      </c>
      <c r="O305" s="62">
        <v>3729.9</v>
      </c>
      <c r="P305" s="76"/>
      <c r="Q305" s="77"/>
      <c r="R305" s="76"/>
      <c r="S305" s="77"/>
      <c r="T305" s="64"/>
      <c r="U305" s="45">
        <f aca="true" t="shared" si="94" ref="U305:U318">+N305+O305+T305+R305+S305+Q305</f>
        <v>43306.4</v>
      </c>
      <c r="V305" s="65"/>
    </row>
    <row r="306" spans="1:22" s="129" customFormat="1" ht="12.75" hidden="1">
      <c r="A306" s="52" t="s">
        <v>64</v>
      </c>
      <c r="B306" s="53" t="s">
        <v>61</v>
      </c>
      <c r="C306" s="54" t="s">
        <v>52</v>
      </c>
      <c r="D306" s="55" t="s">
        <v>573</v>
      </c>
      <c r="E306" s="56" t="s">
        <v>574</v>
      </c>
      <c r="F306" s="43">
        <v>27.737</v>
      </c>
      <c r="G306" s="57"/>
      <c r="H306" s="57"/>
      <c r="I306" s="58"/>
      <c r="J306" s="59">
        <f t="shared" si="91"/>
        <v>742.8502282779862</v>
      </c>
      <c r="K306" s="60">
        <v>0.9336178972540682</v>
      </c>
      <c r="L306" s="75">
        <v>0.9518547972136078</v>
      </c>
      <c r="M306" s="63">
        <f t="shared" si="92"/>
        <v>18773.6</v>
      </c>
      <c r="N306" s="63">
        <f t="shared" si="93"/>
        <v>17027.7</v>
      </c>
      <c r="O306" s="62">
        <v>4852.4</v>
      </c>
      <c r="P306" s="76"/>
      <c r="Q306" s="77"/>
      <c r="R306" s="76"/>
      <c r="S306" s="77"/>
      <c r="T306" s="64"/>
      <c r="U306" s="45">
        <f t="shared" si="94"/>
        <v>21880.1</v>
      </c>
      <c r="V306" s="65"/>
    </row>
    <row r="307" spans="1:22" ht="12.75" hidden="1">
      <c r="A307" s="52" t="s">
        <v>64</v>
      </c>
      <c r="B307" s="53" t="s">
        <v>64</v>
      </c>
      <c r="C307" s="54" t="s">
        <v>52</v>
      </c>
      <c r="D307" s="55" t="s">
        <v>575</v>
      </c>
      <c r="E307" s="56" t="s">
        <v>576</v>
      </c>
      <c r="F307" s="43">
        <v>44.217</v>
      </c>
      <c r="G307" s="57"/>
      <c r="H307" s="57"/>
      <c r="I307" s="58"/>
      <c r="J307" s="59">
        <f t="shared" si="91"/>
        <v>742.8502282779862</v>
      </c>
      <c r="K307" s="60">
        <v>0.9336178972540682</v>
      </c>
      <c r="L307" s="75">
        <v>1.0217667192228324</v>
      </c>
      <c r="M307" s="63">
        <f t="shared" si="92"/>
        <v>30999.9</v>
      </c>
      <c r="N307" s="63">
        <f t="shared" si="93"/>
        <v>28116.9</v>
      </c>
      <c r="O307" s="62"/>
      <c r="P307" s="76"/>
      <c r="Q307" s="77"/>
      <c r="R307" s="76"/>
      <c r="S307" s="77"/>
      <c r="T307" s="64"/>
      <c r="U307" s="45">
        <f t="shared" si="94"/>
        <v>28116.9</v>
      </c>
      <c r="V307" s="65"/>
    </row>
    <row r="308" spans="1:22" ht="12.75" hidden="1">
      <c r="A308" s="52" t="s">
        <v>64</v>
      </c>
      <c r="B308" s="53">
        <v>10</v>
      </c>
      <c r="C308" s="54" t="s">
        <v>52</v>
      </c>
      <c r="D308" s="55" t="s">
        <v>577</v>
      </c>
      <c r="E308" s="56" t="s">
        <v>578</v>
      </c>
      <c r="F308" s="43">
        <v>53.786</v>
      </c>
      <c r="G308" s="57"/>
      <c r="H308" s="57"/>
      <c r="I308" s="58"/>
      <c r="J308" s="59">
        <f t="shared" si="91"/>
        <v>742.8502282779862</v>
      </c>
      <c r="K308" s="60">
        <v>0.9336178972540682</v>
      </c>
      <c r="L308" s="75">
        <v>1.0198272589898638</v>
      </c>
      <c r="M308" s="63">
        <f t="shared" si="92"/>
        <v>37672.5</v>
      </c>
      <c r="N308" s="63">
        <f t="shared" si="93"/>
        <v>34169</v>
      </c>
      <c r="O308" s="62"/>
      <c r="P308" s="76"/>
      <c r="Q308" s="77"/>
      <c r="R308" s="76"/>
      <c r="S308" s="77"/>
      <c r="T308" s="64"/>
      <c r="U308" s="45">
        <f t="shared" si="94"/>
        <v>34169</v>
      </c>
      <c r="V308" s="65"/>
    </row>
    <row r="309" spans="1:22" ht="12.75" hidden="1">
      <c r="A309" s="52" t="s">
        <v>64</v>
      </c>
      <c r="B309" s="53">
        <v>11</v>
      </c>
      <c r="C309" s="54" t="s">
        <v>52</v>
      </c>
      <c r="D309" s="55" t="s">
        <v>579</v>
      </c>
      <c r="E309" s="56" t="s">
        <v>580</v>
      </c>
      <c r="F309" s="43">
        <v>69.805</v>
      </c>
      <c r="G309" s="57"/>
      <c r="H309" s="57"/>
      <c r="I309" s="58"/>
      <c r="J309" s="59">
        <f t="shared" si="91"/>
        <v>742.8502282779862</v>
      </c>
      <c r="K309" s="60">
        <v>0.9336178972540682</v>
      </c>
      <c r="L309" s="75">
        <v>0.9950962687244709</v>
      </c>
      <c r="M309" s="63">
        <f t="shared" si="92"/>
        <v>48293.7</v>
      </c>
      <c r="N309" s="63">
        <f t="shared" si="93"/>
        <v>43802.4</v>
      </c>
      <c r="O309" s="62">
        <v>12068.6</v>
      </c>
      <c r="P309" s="76"/>
      <c r="Q309" s="77"/>
      <c r="R309" s="76"/>
      <c r="S309" s="77"/>
      <c r="T309" s="64"/>
      <c r="U309" s="45">
        <f t="shared" si="94"/>
        <v>55871</v>
      </c>
      <c r="V309" s="65"/>
    </row>
    <row r="310" spans="1:22" ht="12.75" hidden="1">
      <c r="A310" s="52" t="s">
        <v>64</v>
      </c>
      <c r="B310" s="53">
        <v>12</v>
      </c>
      <c r="C310" s="54" t="s">
        <v>52</v>
      </c>
      <c r="D310" s="55" t="s">
        <v>581</v>
      </c>
      <c r="E310" s="56" t="s">
        <v>582</v>
      </c>
      <c r="F310" s="43">
        <v>48.83</v>
      </c>
      <c r="G310" s="57"/>
      <c r="H310" s="57"/>
      <c r="I310" s="58"/>
      <c r="J310" s="59">
        <f t="shared" si="91"/>
        <v>742.8502282779862</v>
      </c>
      <c r="K310" s="60">
        <v>0.9336178972540682</v>
      </c>
      <c r="L310" s="75">
        <v>1.0055336086352302</v>
      </c>
      <c r="M310" s="63">
        <f t="shared" si="92"/>
        <v>33959.2</v>
      </c>
      <c r="N310" s="63">
        <f t="shared" si="93"/>
        <v>30801</v>
      </c>
      <c r="O310" s="62"/>
      <c r="P310" s="76"/>
      <c r="Q310" s="77"/>
      <c r="R310" s="76"/>
      <c r="S310" s="77"/>
      <c r="T310" s="64"/>
      <c r="U310" s="45">
        <f t="shared" si="94"/>
        <v>30801</v>
      </c>
      <c r="V310" s="65"/>
    </row>
    <row r="311" spans="1:22" s="156" customFormat="1" ht="12.75" hidden="1">
      <c r="A311" s="52" t="s">
        <v>64</v>
      </c>
      <c r="B311" s="53">
        <v>13</v>
      </c>
      <c r="C311" s="54" t="s">
        <v>52</v>
      </c>
      <c r="D311" s="55" t="s">
        <v>583</v>
      </c>
      <c r="E311" s="56" t="s">
        <v>584</v>
      </c>
      <c r="F311" s="43">
        <v>81.895</v>
      </c>
      <c r="G311" s="57"/>
      <c r="H311" s="57"/>
      <c r="I311" s="58"/>
      <c r="J311" s="59">
        <f t="shared" si="91"/>
        <v>742.8502282779862</v>
      </c>
      <c r="K311" s="60">
        <v>0.9336178972540682</v>
      </c>
      <c r="L311" s="75">
        <v>0.9745052062008033</v>
      </c>
      <c r="M311" s="63">
        <f t="shared" si="92"/>
        <v>56073.3</v>
      </c>
      <c r="N311" s="63">
        <f t="shared" si="93"/>
        <v>50858.5</v>
      </c>
      <c r="O311" s="62">
        <v>231.9</v>
      </c>
      <c r="P311" s="76"/>
      <c r="Q311" s="77"/>
      <c r="R311" s="76"/>
      <c r="S311" s="77"/>
      <c r="T311" s="64"/>
      <c r="U311" s="45">
        <f t="shared" si="94"/>
        <v>51090.4</v>
      </c>
      <c r="V311" s="65"/>
    </row>
    <row r="312" spans="1:22" s="156" customFormat="1" ht="12.75" hidden="1">
      <c r="A312" s="52" t="s">
        <v>64</v>
      </c>
      <c r="B312" s="53">
        <v>14</v>
      </c>
      <c r="C312" s="54" t="s">
        <v>52</v>
      </c>
      <c r="D312" s="55" t="s">
        <v>585</v>
      </c>
      <c r="E312" s="56" t="s">
        <v>586</v>
      </c>
      <c r="F312" s="43">
        <v>88.182</v>
      </c>
      <c r="G312" s="57"/>
      <c r="H312" s="57"/>
      <c r="I312" s="58"/>
      <c r="J312" s="59">
        <f t="shared" si="91"/>
        <v>742.8502282779862</v>
      </c>
      <c r="K312" s="60">
        <v>0.9336178972540682</v>
      </c>
      <c r="L312" s="75">
        <v>0.9793157351494284</v>
      </c>
      <c r="M312" s="63">
        <f t="shared" si="92"/>
        <v>60525.1</v>
      </c>
      <c r="N312" s="63">
        <f t="shared" si="93"/>
        <v>54896.3</v>
      </c>
      <c r="O312" s="62">
        <v>11733.1</v>
      </c>
      <c r="P312" s="76"/>
      <c r="Q312" s="77"/>
      <c r="R312" s="76"/>
      <c r="S312" s="77"/>
      <c r="T312" s="64"/>
      <c r="U312" s="45">
        <f t="shared" si="94"/>
        <v>66629.40000000001</v>
      </c>
      <c r="V312" s="65"/>
    </row>
    <row r="313" spans="1:22" ht="12.75" hidden="1">
      <c r="A313" s="52" t="s">
        <v>64</v>
      </c>
      <c r="B313" s="53">
        <v>15</v>
      </c>
      <c r="C313" s="54" t="s">
        <v>52</v>
      </c>
      <c r="D313" s="55" t="s">
        <v>587</v>
      </c>
      <c r="E313" s="56" t="s">
        <v>588</v>
      </c>
      <c r="F313" s="43">
        <v>115.5</v>
      </c>
      <c r="G313" s="57"/>
      <c r="H313" s="57"/>
      <c r="I313" s="58"/>
      <c r="J313" s="59">
        <f t="shared" si="91"/>
        <v>742.8502282779862</v>
      </c>
      <c r="K313" s="60">
        <v>0.9336178972540682</v>
      </c>
      <c r="L313" s="75">
        <v>0.9542332572083831</v>
      </c>
      <c r="M313" s="63">
        <f t="shared" si="92"/>
        <v>78270.6</v>
      </c>
      <c r="N313" s="63">
        <f t="shared" si="93"/>
        <v>70991.4</v>
      </c>
      <c r="O313" s="62">
        <v>14527.9</v>
      </c>
      <c r="P313" s="76"/>
      <c r="Q313" s="77"/>
      <c r="R313" s="76"/>
      <c r="S313" s="77"/>
      <c r="T313" s="64"/>
      <c r="U313" s="45">
        <f t="shared" si="94"/>
        <v>85519.29999999999</v>
      </c>
      <c r="V313" s="65"/>
    </row>
    <row r="314" spans="1:22" ht="12.75" hidden="1">
      <c r="A314" s="52" t="s">
        <v>64</v>
      </c>
      <c r="B314" s="53">
        <v>16</v>
      </c>
      <c r="C314" s="54" t="s">
        <v>52</v>
      </c>
      <c r="D314" s="55" t="s">
        <v>589</v>
      </c>
      <c r="E314" s="56" t="s">
        <v>590</v>
      </c>
      <c r="F314" s="43">
        <v>41.445</v>
      </c>
      <c r="G314" s="57"/>
      <c r="H314" s="57"/>
      <c r="I314" s="58"/>
      <c r="J314" s="59">
        <f t="shared" si="91"/>
        <v>742.8502282779862</v>
      </c>
      <c r="K314" s="60">
        <v>0.9336178972540682</v>
      </c>
      <c r="L314" s="75">
        <v>1.0499091382832195</v>
      </c>
      <c r="M314" s="63">
        <f t="shared" si="92"/>
        <v>29461</v>
      </c>
      <c r="N314" s="63">
        <f t="shared" si="93"/>
        <v>26721.1</v>
      </c>
      <c r="O314" s="62"/>
      <c r="P314" s="76"/>
      <c r="Q314" s="77"/>
      <c r="R314" s="76"/>
      <c r="S314" s="77"/>
      <c r="T314" s="64"/>
      <c r="U314" s="45">
        <f t="shared" si="94"/>
        <v>26721.1</v>
      </c>
      <c r="V314" s="65"/>
    </row>
    <row r="315" spans="1:22" ht="12.75" hidden="1">
      <c r="A315" s="52" t="s">
        <v>64</v>
      </c>
      <c r="B315" s="53">
        <v>17</v>
      </c>
      <c r="C315" s="54" t="s">
        <v>52</v>
      </c>
      <c r="D315" s="55" t="s">
        <v>591</v>
      </c>
      <c r="E315" s="56" t="s">
        <v>592</v>
      </c>
      <c r="F315" s="43">
        <v>73.005</v>
      </c>
      <c r="G315" s="57"/>
      <c r="H315" s="57"/>
      <c r="I315" s="58"/>
      <c r="J315" s="59">
        <f t="shared" si="91"/>
        <v>742.8502282779862</v>
      </c>
      <c r="K315" s="60">
        <v>0.9336178972540682</v>
      </c>
      <c r="L315" s="75">
        <v>0.9908507897112269</v>
      </c>
      <c r="M315" s="63">
        <f t="shared" si="92"/>
        <v>50400.1</v>
      </c>
      <c r="N315" s="63">
        <f t="shared" si="93"/>
        <v>45712.9</v>
      </c>
      <c r="O315" s="62">
        <v>8172.7</v>
      </c>
      <c r="P315" s="76"/>
      <c r="Q315" s="77"/>
      <c r="R315" s="76"/>
      <c r="S315" s="77"/>
      <c r="T315" s="64"/>
      <c r="U315" s="45">
        <f t="shared" si="94"/>
        <v>53885.6</v>
      </c>
      <c r="V315" s="65"/>
    </row>
    <row r="316" spans="1:22" ht="12.75" hidden="1">
      <c r="A316" s="52" t="s">
        <v>64</v>
      </c>
      <c r="B316" s="53">
        <v>18</v>
      </c>
      <c r="C316" s="54" t="s">
        <v>52</v>
      </c>
      <c r="D316" s="55" t="s">
        <v>593</v>
      </c>
      <c r="E316" s="56" t="s">
        <v>594</v>
      </c>
      <c r="F316" s="43">
        <v>65.479</v>
      </c>
      <c r="G316" s="57"/>
      <c r="H316" s="57"/>
      <c r="I316" s="58"/>
      <c r="J316" s="59">
        <f t="shared" si="91"/>
        <v>742.8502282779862</v>
      </c>
      <c r="K316" s="60">
        <v>0.9336178972540682</v>
      </c>
      <c r="L316" s="75">
        <v>0.9843492356593576</v>
      </c>
      <c r="M316" s="63">
        <f t="shared" si="92"/>
        <v>45056.8</v>
      </c>
      <c r="N316" s="63">
        <f t="shared" si="93"/>
        <v>40866.5</v>
      </c>
      <c r="O316" s="62"/>
      <c r="P316" s="76"/>
      <c r="Q316" s="77"/>
      <c r="R316" s="76"/>
      <c r="S316" s="77"/>
      <c r="T316" s="64"/>
      <c r="U316" s="45">
        <f t="shared" si="94"/>
        <v>40866.5</v>
      </c>
      <c r="V316" s="65"/>
    </row>
    <row r="317" spans="1:22" ht="12.75" hidden="1">
      <c r="A317" s="52" t="s">
        <v>64</v>
      </c>
      <c r="B317" s="53">
        <v>19</v>
      </c>
      <c r="C317" s="54" t="s">
        <v>52</v>
      </c>
      <c r="D317" s="55" t="s">
        <v>595</v>
      </c>
      <c r="E317" s="56" t="s">
        <v>596</v>
      </c>
      <c r="F317" s="43">
        <v>82.756</v>
      </c>
      <c r="G317" s="57"/>
      <c r="H317" s="57"/>
      <c r="I317" s="58"/>
      <c r="J317" s="59">
        <f t="shared" si="91"/>
        <v>742.8502282779862</v>
      </c>
      <c r="K317" s="60">
        <v>0.9336178972540682</v>
      </c>
      <c r="L317" s="75">
        <v>0.9841221366025438</v>
      </c>
      <c r="M317" s="63">
        <f t="shared" si="92"/>
        <v>56938.8</v>
      </c>
      <c r="N317" s="63">
        <f t="shared" si="93"/>
        <v>51643.5</v>
      </c>
      <c r="O317" s="62"/>
      <c r="P317" s="76"/>
      <c r="Q317" s="77"/>
      <c r="R317" s="76"/>
      <c r="S317" s="77"/>
      <c r="T317" s="64"/>
      <c r="U317" s="45">
        <f t="shared" si="94"/>
        <v>51643.5</v>
      </c>
      <c r="V317" s="65"/>
    </row>
    <row r="318" spans="1:22" ht="12.75" hidden="1">
      <c r="A318" s="52" t="s">
        <v>64</v>
      </c>
      <c r="B318" s="53">
        <v>20</v>
      </c>
      <c r="C318" s="54" t="s">
        <v>52</v>
      </c>
      <c r="D318" s="55" t="s">
        <v>597</v>
      </c>
      <c r="E318" s="56" t="s">
        <v>598</v>
      </c>
      <c r="F318" s="43">
        <v>47.843</v>
      </c>
      <c r="G318" s="57"/>
      <c r="H318" s="57"/>
      <c r="I318" s="58"/>
      <c r="J318" s="59">
        <f t="shared" si="91"/>
        <v>742.8502282779862</v>
      </c>
      <c r="K318" s="60">
        <v>0.9336178972540682</v>
      </c>
      <c r="L318" s="75">
        <v>1.007363793520058</v>
      </c>
      <c r="M318" s="63">
        <f t="shared" si="92"/>
        <v>33303.1</v>
      </c>
      <c r="N318" s="63">
        <f t="shared" si="93"/>
        <v>30205.9</v>
      </c>
      <c r="O318" s="62"/>
      <c r="P318" s="76"/>
      <c r="Q318" s="77"/>
      <c r="R318" s="76"/>
      <c r="S318" s="77"/>
      <c r="T318" s="64"/>
      <c r="U318" s="45">
        <f t="shared" si="94"/>
        <v>30205.9</v>
      </c>
      <c r="V318" s="65"/>
    </row>
    <row r="319" spans="1:22" ht="26.25" hidden="1">
      <c r="A319" s="38" t="s">
        <v>64</v>
      </c>
      <c r="B319" s="39" t="s">
        <v>26</v>
      </c>
      <c r="C319" s="40" t="s">
        <v>111</v>
      </c>
      <c r="D319" s="55"/>
      <c r="E319" s="79" t="s">
        <v>112</v>
      </c>
      <c r="F319" s="43">
        <f>SUM(F320:F323)</f>
        <v>37.103</v>
      </c>
      <c r="G319" s="83">
        <f>SUM(G320:G323)</f>
        <v>0</v>
      </c>
      <c r="H319" s="83">
        <f>SUM(H320:H323)</f>
        <v>0</v>
      </c>
      <c r="I319" s="122"/>
      <c r="J319" s="123"/>
      <c r="K319" s="122"/>
      <c r="L319" s="84">
        <v>0</v>
      </c>
      <c r="M319" s="85">
        <f aca="true" t="shared" si="95" ref="M319:U319">SUM(M320:M323)</f>
        <v>25470.2</v>
      </c>
      <c r="N319" s="85">
        <f t="shared" si="95"/>
        <v>23101.499999999996</v>
      </c>
      <c r="O319" s="85">
        <f t="shared" si="95"/>
        <v>1172</v>
      </c>
      <c r="P319" s="85">
        <f t="shared" si="95"/>
        <v>0</v>
      </c>
      <c r="Q319" s="85">
        <f t="shared" si="95"/>
        <v>0</v>
      </c>
      <c r="R319" s="85">
        <f t="shared" si="95"/>
        <v>0</v>
      </c>
      <c r="S319" s="85">
        <f t="shared" si="95"/>
        <v>0</v>
      </c>
      <c r="T319" s="85">
        <f t="shared" si="95"/>
        <v>0</v>
      </c>
      <c r="U319" s="85">
        <f t="shared" si="95"/>
        <v>24273.5</v>
      </c>
      <c r="V319" s="135"/>
    </row>
    <row r="320" spans="1:22" ht="25.5" hidden="1">
      <c r="A320" s="52" t="s">
        <v>64</v>
      </c>
      <c r="B320" s="53">
        <v>21</v>
      </c>
      <c r="C320" s="54" t="s">
        <v>113</v>
      </c>
      <c r="D320" s="55" t="s">
        <v>599</v>
      </c>
      <c r="E320" s="56" t="s">
        <v>600</v>
      </c>
      <c r="F320" s="43">
        <v>10.701</v>
      </c>
      <c r="G320" s="57"/>
      <c r="H320" s="57"/>
      <c r="I320" s="58"/>
      <c r="J320" s="59">
        <f>+($F$7-$O$952-$Q$952-$P$952-$R$952-$S$952)/($F$952-$G$952*1-$H$952*0.5)*0.646*1.0268514</f>
        <v>742.8502282779862</v>
      </c>
      <c r="K320" s="60">
        <v>0.9336178972540682</v>
      </c>
      <c r="L320" s="75">
        <v>1.0055336086352302</v>
      </c>
      <c r="M320" s="63">
        <f>ROUND(J320*(F320-G320-H320*I320)*K320*(0.5+0.5*L320),1)</f>
        <v>7442.1</v>
      </c>
      <c r="N320" s="63">
        <f>ROUND(M320*0.907,1)</f>
        <v>6750</v>
      </c>
      <c r="O320" s="62"/>
      <c r="P320" s="76"/>
      <c r="Q320" s="77"/>
      <c r="R320" s="76"/>
      <c r="S320" s="77"/>
      <c r="T320" s="64"/>
      <c r="U320" s="45">
        <f>+N320+O320+T320+R320+S320+Q320</f>
        <v>6750</v>
      </c>
      <c r="V320" s="65"/>
    </row>
    <row r="321" spans="1:22" ht="25.5" hidden="1">
      <c r="A321" s="52" t="s">
        <v>64</v>
      </c>
      <c r="B321" s="53">
        <v>22</v>
      </c>
      <c r="C321" s="54" t="s">
        <v>113</v>
      </c>
      <c r="D321" s="55" t="s">
        <v>601</v>
      </c>
      <c r="E321" s="56" t="s">
        <v>602</v>
      </c>
      <c r="F321" s="43">
        <v>17.552</v>
      </c>
      <c r="G321" s="57"/>
      <c r="H321" s="57"/>
      <c r="I321" s="58"/>
      <c r="J321" s="59">
        <f>+($F$7-$O$952-$Q$952-$P$952-$R$952-$S$952)/($F$952-$G$952*1-$H$952*0.5)*0.646*1.0268514</f>
        <v>742.8502282779862</v>
      </c>
      <c r="K321" s="60">
        <v>0.9336178972540682</v>
      </c>
      <c r="L321" s="75">
        <v>0.9745052062008033</v>
      </c>
      <c r="M321" s="63">
        <f>ROUND(J321*(F321-G321-H321*I321)*K321*(0.5+0.5*L321),1)</f>
        <v>12017.8</v>
      </c>
      <c r="N321" s="63">
        <f>ROUND(M321*0.907,1)</f>
        <v>10900.1</v>
      </c>
      <c r="O321" s="62">
        <v>875.3</v>
      </c>
      <c r="P321" s="76"/>
      <c r="Q321" s="77"/>
      <c r="R321" s="76"/>
      <c r="S321" s="77"/>
      <c r="T321" s="64"/>
      <c r="U321" s="45">
        <f>+N321+O321+T321+R321+S321+Q321</f>
        <v>11775.4</v>
      </c>
      <c r="V321" s="65"/>
    </row>
    <row r="322" spans="1:22" ht="25.5" hidden="1">
      <c r="A322" s="52" t="s">
        <v>64</v>
      </c>
      <c r="B322" s="53">
        <v>23</v>
      </c>
      <c r="C322" s="54" t="s">
        <v>113</v>
      </c>
      <c r="D322" s="126" t="s">
        <v>603</v>
      </c>
      <c r="E322" s="56" t="s">
        <v>604</v>
      </c>
      <c r="F322" s="43">
        <v>6.106</v>
      </c>
      <c r="G322" s="57"/>
      <c r="H322" s="57"/>
      <c r="I322" s="58"/>
      <c r="J322" s="59">
        <f>+($F$7-$O$952-$Q$952-$P$952-$R$952-$S$952)/($F$952-$G$952*1-$H$952*0.5)*0.646*1.0268514</f>
        <v>742.8502282779862</v>
      </c>
      <c r="K322" s="60">
        <v>0.9336178972540682</v>
      </c>
      <c r="L322" s="75">
        <v>0.9613976613235364</v>
      </c>
      <c r="M322" s="63">
        <f>ROUND(J322*(F322-G322-H322*I322)*K322*(0.5+0.5*L322),1)</f>
        <v>4153</v>
      </c>
      <c r="N322" s="63">
        <f>ROUND(M322*0.907,1)</f>
        <v>3766.8</v>
      </c>
      <c r="O322" s="62">
        <v>20.7</v>
      </c>
      <c r="P322" s="76"/>
      <c r="Q322" s="77"/>
      <c r="R322" s="76"/>
      <c r="S322" s="77"/>
      <c r="T322" s="64"/>
      <c r="U322" s="45">
        <f>+N322+O322+T322+R322+S322+Q322</f>
        <v>3787.5</v>
      </c>
      <c r="V322" s="65"/>
    </row>
    <row r="323" spans="1:22" s="121" customFormat="1" ht="25.5" hidden="1">
      <c r="A323" s="104" t="s">
        <v>64</v>
      </c>
      <c r="B323" s="105">
        <v>24</v>
      </c>
      <c r="C323" s="106" t="s">
        <v>113</v>
      </c>
      <c r="D323" s="119" t="s">
        <v>605</v>
      </c>
      <c r="E323" s="157" t="s">
        <v>606</v>
      </c>
      <c r="F323" s="109">
        <v>2.744</v>
      </c>
      <c r="G323" s="158"/>
      <c r="H323" s="158"/>
      <c r="I323" s="159"/>
      <c r="J323" s="112">
        <f>+($F$7-$O$952-$Q$952-$P$952-$R$952-$S$952)/($F$952-$G$952*1-$H$952*0.5)*0.646*1.0268514</f>
        <v>742.8502282779862</v>
      </c>
      <c r="K323" s="113">
        <v>0.9336178972540682</v>
      </c>
      <c r="L323" s="75">
        <v>0.9518547972136078</v>
      </c>
      <c r="M323" s="63">
        <f>ROUND(J323*(F323-G323-H323*I323)*K323*(0.5+0.5*L323),1)</f>
        <v>1857.3</v>
      </c>
      <c r="N323" s="63">
        <f>ROUND(M323*0.907,1)</f>
        <v>1684.6</v>
      </c>
      <c r="O323" s="62">
        <v>276</v>
      </c>
      <c r="P323" s="160"/>
      <c r="Q323" s="77"/>
      <c r="R323" s="76"/>
      <c r="S323" s="77"/>
      <c r="T323" s="115"/>
      <c r="U323" s="116">
        <f>+N323+O323+T323+R323+S323+Q323</f>
        <v>1960.6</v>
      </c>
      <c r="V323" s="117"/>
    </row>
    <row r="324" spans="1:22" ht="25.5" hidden="1">
      <c r="A324" s="38">
        <v>10</v>
      </c>
      <c r="B324" s="39" t="s">
        <v>26</v>
      </c>
      <c r="C324" s="40" t="s">
        <v>27</v>
      </c>
      <c r="D324" s="55"/>
      <c r="E324" s="127" t="s">
        <v>607</v>
      </c>
      <c r="F324" s="43">
        <f>F325+F326+F339+F365</f>
        <v>1732.2350000000001</v>
      </c>
      <c r="G324" s="44">
        <f>+G325+G326+G339+G365</f>
        <v>0</v>
      </c>
      <c r="H324" s="44">
        <f>+H325+H326+H339+H365</f>
        <v>0</v>
      </c>
      <c r="I324" s="45"/>
      <c r="J324" s="46"/>
      <c r="K324" s="47"/>
      <c r="L324" s="48">
        <v>1.0026091108688495</v>
      </c>
      <c r="M324" s="49">
        <f aca="true" t="shared" si="96" ref="M324:U324">+M325+M326+M339+M365</f>
        <v>1921670.5</v>
      </c>
      <c r="N324" s="49">
        <f t="shared" si="96"/>
        <v>1921670.5</v>
      </c>
      <c r="O324" s="49">
        <f t="shared" si="96"/>
        <v>0</v>
      </c>
      <c r="P324" s="49">
        <f t="shared" si="96"/>
        <v>11521.5</v>
      </c>
      <c r="Q324" s="49">
        <f t="shared" si="96"/>
        <v>26616.5</v>
      </c>
      <c r="R324" s="49">
        <f t="shared" si="96"/>
        <v>44050.8</v>
      </c>
      <c r="S324" s="49">
        <f t="shared" si="96"/>
        <v>467.2</v>
      </c>
      <c r="T324" s="49">
        <f t="shared" si="96"/>
        <v>0</v>
      </c>
      <c r="U324" s="49">
        <f t="shared" si="96"/>
        <v>2004326.5</v>
      </c>
      <c r="V324" s="65"/>
    </row>
    <row r="325" spans="1:22" ht="12.75" hidden="1">
      <c r="A325" s="161">
        <v>10</v>
      </c>
      <c r="B325" s="53" t="s">
        <v>26</v>
      </c>
      <c r="C325" s="54" t="s">
        <v>29</v>
      </c>
      <c r="D325" s="55" t="s">
        <v>608</v>
      </c>
      <c r="E325" s="56" t="s">
        <v>31</v>
      </c>
      <c r="F325" s="43">
        <v>0</v>
      </c>
      <c r="G325" s="128"/>
      <c r="H325" s="128"/>
      <c r="I325" s="58"/>
      <c r="J325" s="59">
        <f>+($F$7-$O$952-$Q$952-$P$952-R$952-$S$952)/$F$952*0.354*0.951</f>
        <v>376.76602120660414</v>
      </c>
      <c r="K325" s="60">
        <v>0</v>
      </c>
      <c r="L325" s="48">
        <v>1.0026091108688495</v>
      </c>
      <c r="M325" s="49">
        <f>ROUND(J325*(F326+F339+F365)*(0.5+0.5*L325),1)</f>
        <v>653498.7</v>
      </c>
      <c r="N325" s="49">
        <f>M325+ROUND(SUM(M327:M338)*0.117+SUM(M340:M364)*0.093+SUM(M366:M367)*0.093,1)+0.1</f>
        <v>784141.9999999999</v>
      </c>
      <c r="O325" s="61"/>
      <c r="P325" s="62">
        <v>11521.5</v>
      </c>
      <c r="Q325" s="63">
        <v>26616.5</v>
      </c>
      <c r="R325" s="62">
        <v>44050.8</v>
      </c>
      <c r="S325" s="63">
        <v>467.2</v>
      </c>
      <c r="T325" s="64"/>
      <c r="U325" s="45">
        <f>N325+O325+P325+Q325+R325+S325+T325</f>
        <v>866797.9999999999</v>
      </c>
      <c r="V325" s="65"/>
    </row>
    <row r="326" spans="1:22" ht="13.5" hidden="1">
      <c r="A326" s="38">
        <v>10</v>
      </c>
      <c r="B326" s="39" t="s">
        <v>26</v>
      </c>
      <c r="C326" s="40" t="s">
        <v>33</v>
      </c>
      <c r="D326" s="55"/>
      <c r="E326" s="79" t="s">
        <v>34</v>
      </c>
      <c r="F326" s="43">
        <f>SUM(F327:F338)</f>
        <v>682.2660000000001</v>
      </c>
      <c r="G326" s="67">
        <f>SUM(G327:G338)</f>
        <v>0</v>
      </c>
      <c r="H326" s="68">
        <f>SUM(H327:H338)</f>
        <v>0</v>
      </c>
      <c r="I326" s="69"/>
      <c r="J326" s="59"/>
      <c r="K326" s="70"/>
      <c r="L326" s="71">
        <v>0.9608073424367259</v>
      </c>
      <c r="M326" s="72">
        <f aca="true" t="shared" si="97" ref="M326:U326">SUM(M327:M338)</f>
        <v>529299.8</v>
      </c>
      <c r="N326" s="72">
        <f t="shared" si="97"/>
        <v>467371.7</v>
      </c>
      <c r="O326" s="72">
        <f t="shared" si="97"/>
        <v>0</v>
      </c>
      <c r="P326" s="72">
        <f t="shared" si="97"/>
        <v>0</v>
      </c>
      <c r="Q326" s="72">
        <f t="shared" si="97"/>
        <v>0</v>
      </c>
      <c r="R326" s="72">
        <f t="shared" si="97"/>
        <v>0</v>
      </c>
      <c r="S326" s="72">
        <f t="shared" si="97"/>
        <v>0</v>
      </c>
      <c r="T326" s="72">
        <f t="shared" si="97"/>
        <v>0</v>
      </c>
      <c r="U326" s="72">
        <f t="shared" si="97"/>
        <v>467371.7</v>
      </c>
      <c r="V326" s="73"/>
    </row>
    <row r="327" spans="1:22" ht="12.75" hidden="1">
      <c r="A327" s="52">
        <v>10</v>
      </c>
      <c r="B327" s="53" t="s">
        <v>35</v>
      </c>
      <c r="C327" s="54" t="s">
        <v>36</v>
      </c>
      <c r="D327" s="55" t="s">
        <v>609</v>
      </c>
      <c r="E327" s="78" t="s">
        <v>610</v>
      </c>
      <c r="F327" s="43">
        <v>16.55</v>
      </c>
      <c r="G327" s="162"/>
      <c r="H327" s="162"/>
      <c r="I327" s="58"/>
      <c r="J327" s="59">
        <f aca="true" t="shared" si="98" ref="J327:J338">+($F$7-$O$952-$Q$952-$P$952-$R$952-$S$952)/($F$952-$G$952*1-$H$952*0.5)*0.646*1.0268514</f>
        <v>742.8502282779862</v>
      </c>
      <c r="K327" s="60">
        <v>1.065228053001168</v>
      </c>
      <c r="L327" s="75">
        <v>0.9786640003513463</v>
      </c>
      <c r="M327" s="63">
        <f aca="true" t="shared" si="99" ref="M327:M338">ROUND(J327*(F327-G327-H327*I327)*K327*(0.5+0.5*L327),1)</f>
        <v>12956.4</v>
      </c>
      <c r="N327" s="63">
        <f aca="true" t="shared" si="100" ref="N327:N338">ROUND(M327*0.883,1)</f>
        <v>11440.5</v>
      </c>
      <c r="O327" s="62"/>
      <c r="P327" s="76"/>
      <c r="Q327" s="77"/>
      <c r="R327" s="76"/>
      <c r="S327" s="77"/>
      <c r="T327" s="64"/>
      <c r="U327" s="45">
        <f aca="true" t="shared" si="101" ref="U327:U338">+N327+O327+T327+R327+S327+Q327</f>
        <v>11440.5</v>
      </c>
      <c r="V327" s="65"/>
    </row>
    <row r="328" spans="1:22" ht="12.75" hidden="1">
      <c r="A328" s="52">
        <v>10</v>
      </c>
      <c r="B328" s="53" t="s">
        <v>32</v>
      </c>
      <c r="C328" s="54" t="s">
        <v>36</v>
      </c>
      <c r="D328" s="55" t="s">
        <v>611</v>
      </c>
      <c r="E328" s="78" t="s">
        <v>612</v>
      </c>
      <c r="F328" s="43">
        <v>210.174</v>
      </c>
      <c r="G328" s="57"/>
      <c r="H328" s="57"/>
      <c r="I328" s="58"/>
      <c r="J328" s="59">
        <f t="shared" si="98"/>
        <v>742.8502282779862</v>
      </c>
      <c r="K328" s="60">
        <v>1.065228053001168</v>
      </c>
      <c r="L328" s="75">
        <v>0.9605362769002905</v>
      </c>
      <c r="M328" s="63">
        <f t="shared" si="99"/>
        <v>163030.1</v>
      </c>
      <c r="N328" s="63">
        <f t="shared" si="100"/>
        <v>143955.6</v>
      </c>
      <c r="O328" s="62"/>
      <c r="P328" s="76"/>
      <c r="Q328" s="77"/>
      <c r="R328" s="76"/>
      <c r="S328" s="77"/>
      <c r="T328" s="64"/>
      <c r="U328" s="45">
        <f t="shared" si="101"/>
        <v>143955.6</v>
      </c>
      <c r="V328" s="65"/>
    </row>
    <row r="329" spans="1:22" ht="12.75" hidden="1">
      <c r="A329" s="52">
        <v>10</v>
      </c>
      <c r="B329" s="53" t="s">
        <v>118</v>
      </c>
      <c r="C329" s="54" t="s">
        <v>36</v>
      </c>
      <c r="D329" s="55" t="s">
        <v>613</v>
      </c>
      <c r="E329" s="78" t="s">
        <v>614</v>
      </c>
      <c r="F329" s="43">
        <v>60.885</v>
      </c>
      <c r="G329" s="57"/>
      <c r="H329" s="57"/>
      <c r="I329" s="58"/>
      <c r="J329" s="59">
        <f t="shared" si="98"/>
        <v>742.8502282779862</v>
      </c>
      <c r="K329" s="60">
        <v>1.065228053001168</v>
      </c>
      <c r="L329" s="75">
        <v>0.9617183812625606</v>
      </c>
      <c r="M329" s="63">
        <f t="shared" si="99"/>
        <v>47256.4</v>
      </c>
      <c r="N329" s="63">
        <f t="shared" si="100"/>
        <v>41727.4</v>
      </c>
      <c r="O329" s="62"/>
      <c r="P329" s="76"/>
      <c r="Q329" s="77"/>
      <c r="R329" s="76"/>
      <c r="S329" s="77"/>
      <c r="T329" s="64"/>
      <c r="U329" s="45">
        <f t="shared" si="101"/>
        <v>41727.4</v>
      </c>
      <c r="V329" s="65"/>
    </row>
    <row r="330" spans="1:22" ht="12.75" hidden="1">
      <c r="A330" s="52">
        <v>10</v>
      </c>
      <c r="B330" s="53" t="s">
        <v>127</v>
      </c>
      <c r="C330" s="54" t="s">
        <v>36</v>
      </c>
      <c r="D330" s="55" t="s">
        <v>615</v>
      </c>
      <c r="E330" s="78" t="s">
        <v>616</v>
      </c>
      <c r="F330" s="43">
        <v>100.702</v>
      </c>
      <c r="G330" s="57"/>
      <c r="H330" s="57"/>
      <c r="I330" s="58"/>
      <c r="J330" s="59">
        <f t="shared" si="98"/>
        <v>742.8502282779862</v>
      </c>
      <c r="K330" s="60">
        <v>1.065228053001168</v>
      </c>
      <c r="L330" s="75">
        <v>0.9613754124790279</v>
      </c>
      <c r="M330" s="63">
        <f t="shared" si="99"/>
        <v>78147.1</v>
      </c>
      <c r="N330" s="63">
        <f t="shared" si="100"/>
        <v>69003.9</v>
      </c>
      <c r="O330" s="62"/>
      <c r="P330" s="76"/>
      <c r="Q330" s="77"/>
      <c r="R330" s="76"/>
      <c r="S330" s="77"/>
      <c r="T330" s="64"/>
      <c r="U330" s="45">
        <f t="shared" si="101"/>
        <v>69003.9</v>
      </c>
      <c r="V330" s="65"/>
    </row>
    <row r="331" spans="1:22" ht="12.75" hidden="1">
      <c r="A331" s="52">
        <v>10</v>
      </c>
      <c r="B331" s="53" t="s">
        <v>55</v>
      </c>
      <c r="C331" s="54" t="s">
        <v>36</v>
      </c>
      <c r="D331" s="55" t="s">
        <v>617</v>
      </c>
      <c r="E331" s="78" t="s">
        <v>618</v>
      </c>
      <c r="F331" s="43">
        <v>37.396</v>
      </c>
      <c r="G331" s="57"/>
      <c r="H331" s="57"/>
      <c r="I331" s="58"/>
      <c r="J331" s="59">
        <f t="shared" si="98"/>
        <v>742.8502282779862</v>
      </c>
      <c r="K331" s="60">
        <v>1.065228053001168</v>
      </c>
      <c r="L331" s="75">
        <v>0.9802154189088113</v>
      </c>
      <c r="M331" s="63">
        <f t="shared" si="99"/>
        <v>29298.9</v>
      </c>
      <c r="N331" s="63">
        <f t="shared" si="100"/>
        <v>25870.9</v>
      </c>
      <c r="O331" s="62"/>
      <c r="P331" s="76"/>
      <c r="Q331" s="77"/>
      <c r="R331" s="76"/>
      <c r="S331" s="77"/>
      <c r="T331" s="64"/>
      <c r="U331" s="45">
        <f t="shared" si="101"/>
        <v>25870.9</v>
      </c>
      <c r="V331" s="65"/>
    </row>
    <row r="332" spans="1:22" s="82" customFormat="1" ht="13.5" hidden="1">
      <c r="A332" s="52">
        <v>10</v>
      </c>
      <c r="B332" s="53" t="s">
        <v>58</v>
      </c>
      <c r="C332" s="54" t="s">
        <v>36</v>
      </c>
      <c r="D332" s="55" t="s">
        <v>619</v>
      </c>
      <c r="E332" s="78" t="s">
        <v>620</v>
      </c>
      <c r="F332" s="43">
        <v>83.448</v>
      </c>
      <c r="G332" s="57"/>
      <c r="H332" s="57"/>
      <c r="I332" s="58"/>
      <c r="J332" s="59">
        <f t="shared" si="98"/>
        <v>742.8502282779862</v>
      </c>
      <c r="K332" s="60">
        <v>1.065228053001168</v>
      </c>
      <c r="L332" s="75">
        <v>0.9370781112980585</v>
      </c>
      <c r="M332" s="63">
        <f t="shared" si="99"/>
        <v>63955.4</v>
      </c>
      <c r="N332" s="63">
        <f t="shared" si="100"/>
        <v>56472.6</v>
      </c>
      <c r="O332" s="62"/>
      <c r="P332" s="76"/>
      <c r="Q332" s="77"/>
      <c r="R332" s="76"/>
      <c r="S332" s="77"/>
      <c r="T332" s="64"/>
      <c r="U332" s="45">
        <f t="shared" si="101"/>
        <v>56472.6</v>
      </c>
      <c r="V332" s="65"/>
    </row>
    <row r="333" spans="1:22" s="82" customFormat="1" ht="14.25" customHeight="1" hidden="1">
      <c r="A333" s="52">
        <v>10</v>
      </c>
      <c r="B333" s="53" t="s">
        <v>61</v>
      </c>
      <c r="C333" s="54" t="s">
        <v>36</v>
      </c>
      <c r="D333" s="55" t="s">
        <v>621</v>
      </c>
      <c r="E333" s="78" t="s">
        <v>622</v>
      </c>
      <c r="F333" s="43">
        <v>27.569</v>
      </c>
      <c r="G333" s="57"/>
      <c r="H333" s="57"/>
      <c r="I333" s="58"/>
      <c r="J333" s="59">
        <f t="shared" si="98"/>
        <v>742.8502282779862</v>
      </c>
      <c r="K333" s="60">
        <v>1.065228053001168</v>
      </c>
      <c r="L333" s="75">
        <v>0.987668517246848</v>
      </c>
      <c r="M333" s="63">
        <f t="shared" si="99"/>
        <v>21681</v>
      </c>
      <c r="N333" s="63">
        <f t="shared" si="100"/>
        <v>19144.3</v>
      </c>
      <c r="O333" s="62"/>
      <c r="P333" s="76"/>
      <c r="Q333" s="77"/>
      <c r="R333" s="76"/>
      <c r="S333" s="77"/>
      <c r="T333" s="64"/>
      <c r="U333" s="45">
        <f t="shared" si="101"/>
        <v>19144.3</v>
      </c>
      <c r="V333" s="65"/>
    </row>
    <row r="334" spans="1:22" s="129" customFormat="1" ht="12.75" hidden="1">
      <c r="A334" s="52">
        <v>10</v>
      </c>
      <c r="B334" s="53" t="s">
        <v>64</v>
      </c>
      <c r="C334" s="54" t="s">
        <v>36</v>
      </c>
      <c r="D334" s="55" t="s">
        <v>623</v>
      </c>
      <c r="E334" s="78" t="s">
        <v>624</v>
      </c>
      <c r="F334" s="43">
        <v>7.514</v>
      </c>
      <c r="G334" s="57"/>
      <c r="H334" s="57"/>
      <c r="I334" s="58"/>
      <c r="J334" s="59">
        <f t="shared" si="98"/>
        <v>742.8502282779862</v>
      </c>
      <c r="K334" s="60">
        <v>1.065228053001168</v>
      </c>
      <c r="L334" s="75">
        <v>0.9665618046630676</v>
      </c>
      <c r="M334" s="63">
        <f t="shared" si="99"/>
        <v>5846.5</v>
      </c>
      <c r="N334" s="63">
        <f t="shared" si="100"/>
        <v>5162.5</v>
      </c>
      <c r="O334" s="62"/>
      <c r="P334" s="76"/>
      <c r="Q334" s="77"/>
      <c r="R334" s="76"/>
      <c r="S334" s="77"/>
      <c r="T334" s="64"/>
      <c r="U334" s="45">
        <f t="shared" si="101"/>
        <v>5162.5</v>
      </c>
      <c r="V334" s="65"/>
    </row>
    <row r="335" spans="1:22" s="91" customFormat="1" ht="12.75" hidden="1">
      <c r="A335" s="52">
        <v>10</v>
      </c>
      <c r="B335" s="53">
        <v>10</v>
      </c>
      <c r="C335" s="54" t="s">
        <v>36</v>
      </c>
      <c r="D335" s="55" t="s">
        <v>625</v>
      </c>
      <c r="E335" s="78" t="s">
        <v>626</v>
      </c>
      <c r="F335" s="43">
        <v>25.006</v>
      </c>
      <c r="G335" s="57"/>
      <c r="H335" s="57"/>
      <c r="I335" s="58"/>
      <c r="J335" s="59">
        <f t="shared" si="98"/>
        <v>742.8502282779862</v>
      </c>
      <c r="K335" s="60">
        <v>1.065228053001168</v>
      </c>
      <c r="L335" s="75">
        <v>0.9186765249535442</v>
      </c>
      <c r="M335" s="63">
        <f t="shared" si="99"/>
        <v>18982.8</v>
      </c>
      <c r="N335" s="63">
        <f t="shared" si="100"/>
        <v>16761.8</v>
      </c>
      <c r="O335" s="62"/>
      <c r="P335" s="76"/>
      <c r="Q335" s="77"/>
      <c r="R335" s="76"/>
      <c r="S335" s="77"/>
      <c r="T335" s="64"/>
      <c r="U335" s="45">
        <f t="shared" si="101"/>
        <v>16761.8</v>
      </c>
      <c r="V335" s="65"/>
    </row>
    <row r="336" spans="1:22" s="155" customFormat="1" ht="12.75" hidden="1">
      <c r="A336" s="52">
        <v>10</v>
      </c>
      <c r="B336" s="53">
        <v>11</v>
      </c>
      <c r="C336" s="54" t="s">
        <v>36</v>
      </c>
      <c r="D336" s="55" t="s">
        <v>627</v>
      </c>
      <c r="E336" s="78" t="s">
        <v>628</v>
      </c>
      <c r="F336" s="43">
        <v>47.442</v>
      </c>
      <c r="G336" s="57"/>
      <c r="H336" s="57"/>
      <c r="I336" s="58"/>
      <c r="J336" s="59">
        <f t="shared" si="98"/>
        <v>742.8502282779862</v>
      </c>
      <c r="K336" s="60">
        <v>1.065228053001168</v>
      </c>
      <c r="L336" s="75">
        <v>0.9927031448946775</v>
      </c>
      <c r="M336" s="63">
        <f t="shared" si="99"/>
        <v>37404.1</v>
      </c>
      <c r="N336" s="63">
        <f t="shared" si="100"/>
        <v>33027.8</v>
      </c>
      <c r="O336" s="62"/>
      <c r="P336" s="76"/>
      <c r="Q336" s="77"/>
      <c r="R336" s="76"/>
      <c r="S336" s="77"/>
      <c r="T336" s="64"/>
      <c r="U336" s="45">
        <f t="shared" si="101"/>
        <v>33027.8</v>
      </c>
      <c r="V336" s="65"/>
    </row>
    <row r="337" spans="1:22" ht="12.75" hidden="1">
      <c r="A337" s="52">
        <v>10</v>
      </c>
      <c r="B337" s="53" t="s">
        <v>51</v>
      </c>
      <c r="C337" s="54" t="s">
        <v>36</v>
      </c>
      <c r="D337" s="55" t="s">
        <v>629</v>
      </c>
      <c r="E337" s="78" t="s">
        <v>630</v>
      </c>
      <c r="F337" s="43">
        <v>31.826</v>
      </c>
      <c r="G337" s="57"/>
      <c r="H337" s="57"/>
      <c r="I337" s="141"/>
      <c r="J337" s="59">
        <f t="shared" si="98"/>
        <v>742.8502282779862</v>
      </c>
      <c r="K337" s="60">
        <v>1.065228053001168</v>
      </c>
      <c r="L337" s="75">
        <v>0.9665831916288926</v>
      </c>
      <c r="M337" s="63">
        <f t="shared" si="99"/>
        <v>24763.3</v>
      </c>
      <c r="N337" s="63">
        <f t="shared" si="100"/>
        <v>21866</v>
      </c>
      <c r="O337" s="62"/>
      <c r="P337" s="76"/>
      <c r="Q337" s="77"/>
      <c r="R337" s="76"/>
      <c r="S337" s="77"/>
      <c r="T337" s="64"/>
      <c r="U337" s="45">
        <f t="shared" si="101"/>
        <v>21866</v>
      </c>
      <c r="V337" s="65"/>
    </row>
    <row r="338" spans="1:22" ht="12.75" hidden="1">
      <c r="A338" s="52">
        <v>10</v>
      </c>
      <c r="B338" s="53">
        <v>12</v>
      </c>
      <c r="C338" s="54" t="s">
        <v>36</v>
      </c>
      <c r="D338" s="55" t="s">
        <v>631</v>
      </c>
      <c r="E338" s="78" t="s">
        <v>632</v>
      </c>
      <c r="F338" s="43">
        <v>33.754</v>
      </c>
      <c r="G338" s="57"/>
      <c r="H338" s="57"/>
      <c r="I338" s="58"/>
      <c r="J338" s="59">
        <f t="shared" si="98"/>
        <v>742.8502282779862</v>
      </c>
      <c r="K338" s="60">
        <v>1.065228053001168</v>
      </c>
      <c r="L338" s="75">
        <v>0.9451934864040162</v>
      </c>
      <c r="M338" s="63">
        <f t="shared" si="99"/>
        <v>25977.8</v>
      </c>
      <c r="N338" s="63">
        <f t="shared" si="100"/>
        <v>22938.4</v>
      </c>
      <c r="O338" s="62"/>
      <c r="P338" s="76"/>
      <c r="Q338" s="77"/>
      <c r="R338" s="76"/>
      <c r="S338" s="77"/>
      <c r="T338" s="64"/>
      <c r="U338" s="45">
        <f t="shared" si="101"/>
        <v>22938.4</v>
      </c>
      <c r="V338" s="65"/>
    </row>
    <row r="339" spans="1:22" ht="32.25" customHeight="1" hidden="1">
      <c r="A339" s="38">
        <v>10</v>
      </c>
      <c r="B339" s="39" t="s">
        <v>26</v>
      </c>
      <c r="C339" s="40" t="s">
        <v>49</v>
      </c>
      <c r="D339" s="55"/>
      <c r="E339" s="79" t="s">
        <v>50</v>
      </c>
      <c r="F339" s="43">
        <f>SUM(F340:F364)</f>
        <v>1031.425</v>
      </c>
      <c r="G339" s="67">
        <f>SUM(G340:G364)</f>
        <v>0</v>
      </c>
      <c r="H339" s="68">
        <f>SUM(H340:H364)</f>
        <v>0</v>
      </c>
      <c r="I339" s="69"/>
      <c r="J339" s="80"/>
      <c r="K339" s="70"/>
      <c r="L339" s="71">
        <v>1.0294675155313227</v>
      </c>
      <c r="M339" s="72">
        <f aca="true" t="shared" si="102" ref="M339:U339">SUM(M340:M364)</f>
        <v>725984.8999999998</v>
      </c>
      <c r="N339" s="72">
        <f t="shared" si="102"/>
        <v>658468.2000000001</v>
      </c>
      <c r="O339" s="72">
        <f t="shared" si="102"/>
        <v>0</v>
      </c>
      <c r="P339" s="72">
        <f t="shared" si="102"/>
        <v>0</v>
      </c>
      <c r="Q339" s="72">
        <f t="shared" si="102"/>
        <v>0</v>
      </c>
      <c r="R339" s="72">
        <f t="shared" si="102"/>
        <v>0</v>
      </c>
      <c r="S339" s="72">
        <f t="shared" si="102"/>
        <v>0</v>
      </c>
      <c r="T339" s="72">
        <f t="shared" si="102"/>
        <v>0</v>
      </c>
      <c r="U339" s="72">
        <f t="shared" si="102"/>
        <v>658468.2000000001</v>
      </c>
      <c r="V339" s="73"/>
    </row>
    <row r="340" spans="1:22" s="82" customFormat="1" ht="13.5" hidden="1">
      <c r="A340" s="52">
        <v>10</v>
      </c>
      <c r="B340" s="53">
        <v>13</v>
      </c>
      <c r="C340" s="54" t="s">
        <v>52</v>
      </c>
      <c r="D340" s="55" t="s">
        <v>633</v>
      </c>
      <c r="E340" s="56" t="s">
        <v>634</v>
      </c>
      <c r="F340" s="43">
        <v>36.074</v>
      </c>
      <c r="G340" s="128"/>
      <c r="H340" s="128"/>
      <c r="I340" s="58"/>
      <c r="J340" s="59">
        <f aca="true" t="shared" si="103" ref="J340:J364">+($F$7-$O$952-$Q$952-$P$952-$R$952-$S$952)/($F$952-$G$952*1-$H$952*0.5)*0.646*1.0268514</f>
        <v>742.8502282779862</v>
      </c>
      <c r="K340" s="60">
        <v>0.9336178972540682</v>
      </c>
      <c r="L340" s="75">
        <v>1.0195509050173963</v>
      </c>
      <c r="M340" s="63">
        <f aca="true" t="shared" si="104" ref="M340:M364">ROUND(J340*(F340-G340-H340*I340)*K340*(0.5+0.5*L340),1)</f>
        <v>25263.3</v>
      </c>
      <c r="N340" s="63">
        <f aca="true" t="shared" si="105" ref="N340:N364">ROUND(M340*0.907,1)</f>
        <v>22913.8</v>
      </c>
      <c r="O340" s="62"/>
      <c r="P340" s="76"/>
      <c r="Q340" s="77"/>
      <c r="R340" s="76"/>
      <c r="S340" s="77"/>
      <c r="T340" s="64"/>
      <c r="U340" s="45">
        <f aca="true" t="shared" si="106" ref="U340:U364">+N340+O340+T340+R340+S340+Q340</f>
        <v>22913.8</v>
      </c>
      <c r="V340" s="65"/>
    </row>
    <row r="341" spans="1:22" s="129" customFormat="1" ht="12.75" hidden="1">
      <c r="A341" s="52">
        <v>10</v>
      </c>
      <c r="B341" s="53">
        <v>14</v>
      </c>
      <c r="C341" s="54" t="s">
        <v>52</v>
      </c>
      <c r="D341" s="55" t="s">
        <v>635</v>
      </c>
      <c r="E341" s="56" t="s">
        <v>636</v>
      </c>
      <c r="F341" s="43">
        <v>48.937</v>
      </c>
      <c r="G341" s="57"/>
      <c r="H341" s="57"/>
      <c r="I341" s="58"/>
      <c r="J341" s="59">
        <f t="shared" si="103"/>
        <v>742.8502282779862</v>
      </c>
      <c r="K341" s="60">
        <v>0.9336178972540682</v>
      </c>
      <c r="L341" s="75">
        <v>1.0937402992628387</v>
      </c>
      <c r="M341" s="63">
        <f t="shared" si="104"/>
        <v>35530.4</v>
      </c>
      <c r="N341" s="63">
        <f t="shared" si="105"/>
        <v>32226.1</v>
      </c>
      <c r="O341" s="62"/>
      <c r="P341" s="76"/>
      <c r="Q341" s="77"/>
      <c r="R341" s="76"/>
      <c r="S341" s="77"/>
      <c r="T341" s="64"/>
      <c r="U341" s="45">
        <f t="shared" si="106"/>
        <v>32226.1</v>
      </c>
      <c r="V341" s="65"/>
    </row>
    <row r="342" spans="1:22" ht="12.75" hidden="1">
      <c r="A342" s="52">
        <v>10</v>
      </c>
      <c r="B342" s="53">
        <v>15</v>
      </c>
      <c r="C342" s="54" t="s">
        <v>52</v>
      </c>
      <c r="D342" s="55" t="s">
        <v>637</v>
      </c>
      <c r="E342" s="56" t="s">
        <v>638</v>
      </c>
      <c r="F342" s="43">
        <v>34.829</v>
      </c>
      <c r="G342" s="57"/>
      <c r="H342" s="57"/>
      <c r="I342" s="58"/>
      <c r="J342" s="59">
        <f t="shared" si="103"/>
        <v>742.8502282779862</v>
      </c>
      <c r="K342" s="60">
        <v>0.9336178972540682</v>
      </c>
      <c r="L342" s="75">
        <v>1.0520770546284977</v>
      </c>
      <c r="M342" s="63">
        <f t="shared" si="104"/>
        <v>24784.2</v>
      </c>
      <c r="N342" s="63">
        <f t="shared" si="105"/>
        <v>22479.3</v>
      </c>
      <c r="O342" s="62"/>
      <c r="P342" s="76"/>
      <c r="Q342" s="77"/>
      <c r="R342" s="76"/>
      <c r="S342" s="77"/>
      <c r="T342" s="64"/>
      <c r="U342" s="45">
        <f t="shared" si="106"/>
        <v>22479.3</v>
      </c>
      <c r="V342" s="65"/>
    </row>
    <row r="343" spans="1:22" ht="12.75" hidden="1">
      <c r="A343" s="52">
        <v>10</v>
      </c>
      <c r="B343" s="53">
        <v>16</v>
      </c>
      <c r="C343" s="54" t="s">
        <v>52</v>
      </c>
      <c r="D343" s="55" t="s">
        <v>639</v>
      </c>
      <c r="E343" s="56" t="s">
        <v>640</v>
      </c>
      <c r="F343" s="43">
        <v>53.081</v>
      </c>
      <c r="G343" s="57"/>
      <c r="H343" s="57"/>
      <c r="I343" s="58"/>
      <c r="J343" s="59">
        <f t="shared" si="103"/>
        <v>742.8502282779862</v>
      </c>
      <c r="K343" s="60">
        <v>0.9336178972540682</v>
      </c>
      <c r="L343" s="75">
        <v>1.0182851258117542</v>
      </c>
      <c r="M343" s="63">
        <f t="shared" si="104"/>
        <v>37150.3</v>
      </c>
      <c r="N343" s="63">
        <f t="shared" si="105"/>
        <v>33695.3</v>
      </c>
      <c r="O343" s="62"/>
      <c r="P343" s="76"/>
      <c r="Q343" s="77"/>
      <c r="R343" s="76"/>
      <c r="S343" s="77"/>
      <c r="T343" s="64"/>
      <c r="U343" s="45">
        <f t="shared" si="106"/>
        <v>33695.3</v>
      </c>
      <c r="V343" s="65"/>
    </row>
    <row r="344" spans="1:22" ht="12.75" hidden="1">
      <c r="A344" s="52">
        <v>10</v>
      </c>
      <c r="B344" s="53">
        <v>17</v>
      </c>
      <c r="C344" s="54" t="s">
        <v>52</v>
      </c>
      <c r="D344" s="55" t="s">
        <v>641</v>
      </c>
      <c r="E344" s="56" t="s">
        <v>642</v>
      </c>
      <c r="F344" s="43">
        <v>49.215</v>
      </c>
      <c r="G344" s="57"/>
      <c r="H344" s="57"/>
      <c r="I344" s="58"/>
      <c r="J344" s="59">
        <f t="shared" si="103"/>
        <v>742.8502282779862</v>
      </c>
      <c r="K344" s="60">
        <v>0.9336178972540682</v>
      </c>
      <c r="L344" s="75">
        <v>0.9888643342775879</v>
      </c>
      <c r="M344" s="63">
        <f t="shared" si="104"/>
        <v>33942.4</v>
      </c>
      <c r="N344" s="63">
        <f t="shared" si="105"/>
        <v>30785.8</v>
      </c>
      <c r="O344" s="62"/>
      <c r="P344" s="76"/>
      <c r="Q344" s="77"/>
      <c r="R344" s="76"/>
      <c r="S344" s="77"/>
      <c r="T344" s="64"/>
      <c r="U344" s="45">
        <f t="shared" si="106"/>
        <v>30785.8</v>
      </c>
      <c r="V344" s="65"/>
    </row>
    <row r="345" spans="1:22" ht="12.75" hidden="1">
      <c r="A345" s="52">
        <v>10</v>
      </c>
      <c r="B345" s="53">
        <v>18</v>
      </c>
      <c r="C345" s="54" t="s">
        <v>52</v>
      </c>
      <c r="D345" s="55" t="s">
        <v>643</v>
      </c>
      <c r="E345" s="56" t="s">
        <v>644</v>
      </c>
      <c r="F345" s="43">
        <v>57.497</v>
      </c>
      <c r="G345" s="57"/>
      <c r="H345" s="57"/>
      <c r="I345" s="58"/>
      <c r="J345" s="59">
        <f t="shared" si="103"/>
        <v>742.8502282779862</v>
      </c>
      <c r="K345" s="60">
        <v>0.9336178972540682</v>
      </c>
      <c r="L345" s="75">
        <v>1.0159444324093188</v>
      </c>
      <c r="M345" s="63">
        <f t="shared" si="104"/>
        <v>40194.3</v>
      </c>
      <c r="N345" s="63">
        <f t="shared" si="105"/>
        <v>36456.2</v>
      </c>
      <c r="O345" s="62"/>
      <c r="P345" s="76"/>
      <c r="Q345" s="77"/>
      <c r="R345" s="76"/>
      <c r="S345" s="77"/>
      <c r="T345" s="64"/>
      <c r="U345" s="45">
        <f t="shared" si="106"/>
        <v>36456.2</v>
      </c>
      <c r="V345" s="65"/>
    </row>
    <row r="346" spans="1:22" ht="12.75" hidden="1">
      <c r="A346" s="52">
        <v>10</v>
      </c>
      <c r="B346" s="53">
        <v>19</v>
      </c>
      <c r="C346" s="54" t="s">
        <v>52</v>
      </c>
      <c r="D346" s="55" t="s">
        <v>645</v>
      </c>
      <c r="E346" s="56" t="s">
        <v>646</v>
      </c>
      <c r="F346" s="43">
        <v>58.021</v>
      </c>
      <c r="G346" s="57"/>
      <c r="H346" s="57"/>
      <c r="I346" s="58"/>
      <c r="J346" s="59">
        <f t="shared" si="103"/>
        <v>742.8502282779862</v>
      </c>
      <c r="K346" s="60">
        <v>0.9336178972540682</v>
      </c>
      <c r="L346" s="75">
        <v>1.052018151199281</v>
      </c>
      <c r="M346" s="63">
        <f t="shared" si="104"/>
        <v>41286.4</v>
      </c>
      <c r="N346" s="63">
        <f t="shared" si="105"/>
        <v>37446.8</v>
      </c>
      <c r="O346" s="62"/>
      <c r="P346" s="76"/>
      <c r="Q346" s="77"/>
      <c r="R346" s="76"/>
      <c r="S346" s="77"/>
      <c r="T346" s="64"/>
      <c r="U346" s="45">
        <f t="shared" si="106"/>
        <v>37446.8</v>
      </c>
      <c r="V346" s="65"/>
    </row>
    <row r="347" spans="1:22" ht="12.75" hidden="1">
      <c r="A347" s="52">
        <v>10</v>
      </c>
      <c r="B347" s="53">
        <v>20</v>
      </c>
      <c r="C347" s="54" t="s">
        <v>52</v>
      </c>
      <c r="D347" s="55" t="s">
        <v>647</v>
      </c>
      <c r="E347" s="56" t="s">
        <v>648</v>
      </c>
      <c r="F347" s="43">
        <v>73.265</v>
      </c>
      <c r="G347" s="57"/>
      <c r="H347" s="57"/>
      <c r="I347" s="58"/>
      <c r="J347" s="59">
        <f t="shared" si="103"/>
        <v>742.8502282779862</v>
      </c>
      <c r="K347" s="60">
        <v>0.9336178972540682</v>
      </c>
      <c r="L347" s="75">
        <v>0.9990805137541785</v>
      </c>
      <c r="M347" s="63">
        <f t="shared" si="104"/>
        <v>50788.7</v>
      </c>
      <c r="N347" s="63">
        <f t="shared" si="105"/>
        <v>46065.4</v>
      </c>
      <c r="O347" s="62"/>
      <c r="P347" s="76"/>
      <c r="Q347" s="77"/>
      <c r="R347" s="76"/>
      <c r="S347" s="77"/>
      <c r="T347" s="64"/>
      <c r="U347" s="45">
        <f t="shared" si="106"/>
        <v>46065.4</v>
      </c>
      <c r="V347" s="65"/>
    </row>
    <row r="348" spans="1:22" ht="12.75" hidden="1">
      <c r="A348" s="52">
        <v>10</v>
      </c>
      <c r="B348" s="53">
        <v>21</v>
      </c>
      <c r="C348" s="54" t="s">
        <v>52</v>
      </c>
      <c r="D348" s="55" t="s">
        <v>649</v>
      </c>
      <c r="E348" s="56" t="s">
        <v>650</v>
      </c>
      <c r="F348" s="43">
        <v>17.497</v>
      </c>
      <c r="G348" s="57"/>
      <c r="H348" s="57"/>
      <c r="I348" s="58"/>
      <c r="J348" s="59">
        <f t="shared" si="103"/>
        <v>742.8502282779862</v>
      </c>
      <c r="K348" s="60">
        <v>0.9336178972540682</v>
      </c>
      <c r="L348" s="75">
        <v>1.0787257105349475</v>
      </c>
      <c r="M348" s="63">
        <f t="shared" si="104"/>
        <v>12612.5</v>
      </c>
      <c r="N348" s="63">
        <f t="shared" si="105"/>
        <v>11439.5</v>
      </c>
      <c r="O348" s="62"/>
      <c r="P348" s="76"/>
      <c r="Q348" s="77"/>
      <c r="R348" s="76"/>
      <c r="S348" s="77"/>
      <c r="T348" s="64"/>
      <c r="U348" s="45">
        <f t="shared" si="106"/>
        <v>11439.5</v>
      </c>
      <c r="V348" s="65"/>
    </row>
    <row r="349" spans="1:22" ht="12.75" hidden="1">
      <c r="A349" s="52">
        <v>10</v>
      </c>
      <c r="B349" s="53">
        <v>22</v>
      </c>
      <c r="C349" s="54" t="s">
        <v>52</v>
      </c>
      <c r="D349" s="55" t="s">
        <v>651</v>
      </c>
      <c r="E349" s="56" t="s">
        <v>652</v>
      </c>
      <c r="F349" s="43">
        <v>16.645</v>
      </c>
      <c r="G349" s="57"/>
      <c r="H349" s="57"/>
      <c r="I349" s="58"/>
      <c r="J349" s="59">
        <f t="shared" si="103"/>
        <v>742.8502282779862</v>
      </c>
      <c r="K349" s="60">
        <v>0.9336178972540682</v>
      </c>
      <c r="L349" s="75">
        <v>1.0664284334073042</v>
      </c>
      <c r="M349" s="63">
        <f t="shared" si="104"/>
        <v>11927.4</v>
      </c>
      <c r="N349" s="63">
        <f t="shared" si="105"/>
        <v>10818.2</v>
      </c>
      <c r="O349" s="62"/>
      <c r="P349" s="76"/>
      <c r="Q349" s="77"/>
      <c r="R349" s="76"/>
      <c r="S349" s="77"/>
      <c r="T349" s="64"/>
      <c r="U349" s="45">
        <f t="shared" si="106"/>
        <v>10818.2</v>
      </c>
      <c r="V349" s="65"/>
    </row>
    <row r="350" spans="1:22" ht="12.75" hidden="1">
      <c r="A350" s="52">
        <v>10</v>
      </c>
      <c r="B350" s="53">
        <v>23</v>
      </c>
      <c r="C350" s="54" t="s">
        <v>52</v>
      </c>
      <c r="D350" s="55" t="s">
        <v>653</v>
      </c>
      <c r="E350" s="56" t="s">
        <v>654</v>
      </c>
      <c r="F350" s="43">
        <v>30.06</v>
      </c>
      <c r="G350" s="57"/>
      <c r="H350" s="57"/>
      <c r="I350" s="58"/>
      <c r="J350" s="59">
        <f t="shared" si="103"/>
        <v>742.8502282779862</v>
      </c>
      <c r="K350" s="60">
        <v>0.9336178972540682</v>
      </c>
      <c r="L350" s="75">
        <v>1.0262890161595652</v>
      </c>
      <c r="M350" s="63">
        <f t="shared" si="104"/>
        <v>21121.8</v>
      </c>
      <c r="N350" s="63">
        <f t="shared" si="105"/>
        <v>19157.5</v>
      </c>
      <c r="O350" s="62"/>
      <c r="P350" s="76"/>
      <c r="Q350" s="77"/>
      <c r="R350" s="76"/>
      <c r="S350" s="77"/>
      <c r="T350" s="64"/>
      <c r="U350" s="45">
        <f t="shared" si="106"/>
        <v>19157.5</v>
      </c>
      <c r="V350" s="65"/>
    </row>
    <row r="351" spans="1:22" ht="12.75" hidden="1">
      <c r="A351" s="52">
        <v>10</v>
      </c>
      <c r="B351" s="53">
        <v>24</v>
      </c>
      <c r="C351" s="54" t="s">
        <v>52</v>
      </c>
      <c r="D351" s="55" t="s">
        <v>655</v>
      </c>
      <c r="E351" s="56" t="s">
        <v>656</v>
      </c>
      <c r="F351" s="43">
        <v>33.405</v>
      </c>
      <c r="G351" s="57"/>
      <c r="H351" s="57"/>
      <c r="I351" s="58"/>
      <c r="J351" s="59">
        <f t="shared" si="103"/>
        <v>742.8502282779862</v>
      </c>
      <c r="K351" s="60">
        <v>0.9336178972540682</v>
      </c>
      <c r="L351" s="75">
        <v>1.057806644100675</v>
      </c>
      <c r="M351" s="63">
        <f t="shared" si="104"/>
        <v>23837.3</v>
      </c>
      <c r="N351" s="63">
        <f t="shared" si="105"/>
        <v>21620.4</v>
      </c>
      <c r="O351" s="62"/>
      <c r="P351" s="76"/>
      <c r="Q351" s="77"/>
      <c r="R351" s="76"/>
      <c r="S351" s="77"/>
      <c r="T351" s="64"/>
      <c r="U351" s="45">
        <f t="shared" si="106"/>
        <v>21620.4</v>
      </c>
      <c r="V351" s="65"/>
    </row>
    <row r="352" spans="1:22" ht="12.75" hidden="1">
      <c r="A352" s="52">
        <v>10</v>
      </c>
      <c r="B352" s="53">
        <v>25</v>
      </c>
      <c r="C352" s="54" t="s">
        <v>52</v>
      </c>
      <c r="D352" s="55" t="s">
        <v>657</v>
      </c>
      <c r="E352" s="56" t="s">
        <v>658</v>
      </c>
      <c r="F352" s="43">
        <v>171.045</v>
      </c>
      <c r="G352" s="57"/>
      <c r="H352" s="57"/>
      <c r="I352" s="58"/>
      <c r="J352" s="59">
        <f t="shared" si="103"/>
        <v>742.8502282779862</v>
      </c>
      <c r="K352" s="60">
        <v>0.9336178972540682</v>
      </c>
      <c r="L352" s="75">
        <v>0.9696011195911026</v>
      </c>
      <c r="M352" s="63">
        <f t="shared" si="104"/>
        <v>116823.2</v>
      </c>
      <c r="N352" s="63">
        <f t="shared" si="105"/>
        <v>105958.6</v>
      </c>
      <c r="O352" s="62"/>
      <c r="P352" s="76"/>
      <c r="Q352" s="77"/>
      <c r="R352" s="76"/>
      <c r="S352" s="77"/>
      <c r="T352" s="64"/>
      <c r="U352" s="45">
        <f t="shared" si="106"/>
        <v>105958.6</v>
      </c>
      <c r="V352" s="65"/>
    </row>
    <row r="353" spans="1:22" ht="12.75" hidden="1">
      <c r="A353" s="52">
        <v>10</v>
      </c>
      <c r="B353" s="53">
        <v>26</v>
      </c>
      <c r="C353" s="54" t="s">
        <v>52</v>
      </c>
      <c r="D353" s="55" t="s">
        <v>659</v>
      </c>
      <c r="E353" s="56" t="s">
        <v>660</v>
      </c>
      <c r="F353" s="43">
        <v>36.766</v>
      </c>
      <c r="G353" s="57"/>
      <c r="H353" s="57"/>
      <c r="I353" s="58"/>
      <c r="J353" s="59">
        <f t="shared" si="103"/>
        <v>742.8502282779862</v>
      </c>
      <c r="K353" s="60">
        <v>0.9336178972540682</v>
      </c>
      <c r="L353" s="75">
        <v>1.0456165315454107</v>
      </c>
      <c r="M353" s="63">
        <f t="shared" si="104"/>
        <v>26080.2</v>
      </c>
      <c r="N353" s="63">
        <f t="shared" si="105"/>
        <v>23654.7</v>
      </c>
      <c r="O353" s="62"/>
      <c r="P353" s="76"/>
      <c r="Q353" s="77"/>
      <c r="R353" s="76"/>
      <c r="S353" s="77"/>
      <c r="T353" s="64"/>
      <c r="U353" s="45">
        <f t="shared" si="106"/>
        <v>23654.7</v>
      </c>
      <c r="V353" s="65"/>
    </row>
    <row r="354" spans="1:22" ht="12.75" hidden="1">
      <c r="A354" s="52">
        <v>10</v>
      </c>
      <c r="B354" s="53">
        <v>27</v>
      </c>
      <c r="C354" s="54" t="s">
        <v>52</v>
      </c>
      <c r="D354" s="55" t="s">
        <v>661</v>
      </c>
      <c r="E354" s="56" t="s">
        <v>662</v>
      </c>
      <c r="F354" s="43">
        <v>34.251</v>
      </c>
      <c r="G354" s="57"/>
      <c r="H354" s="57"/>
      <c r="I354" s="58"/>
      <c r="J354" s="59">
        <f t="shared" si="103"/>
        <v>742.8502282779862</v>
      </c>
      <c r="K354" s="60">
        <v>0.9336178972540682</v>
      </c>
      <c r="L354" s="75">
        <v>1.0559335592895778</v>
      </c>
      <c r="M354" s="63">
        <f t="shared" si="104"/>
        <v>24418.7</v>
      </c>
      <c r="N354" s="63">
        <f t="shared" si="105"/>
        <v>22147.8</v>
      </c>
      <c r="O354" s="62"/>
      <c r="P354" s="76"/>
      <c r="Q354" s="77"/>
      <c r="R354" s="76"/>
      <c r="S354" s="77"/>
      <c r="T354" s="64"/>
      <c r="U354" s="45">
        <f t="shared" si="106"/>
        <v>22147.8</v>
      </c>
      <c r="V354" s="65"/>
    </row>
    <row r="355" spans="1:22" ht="12.75" hidden="1">
      <c r="A355" s="52">
        <v>10</v>
      </c>
      <c r="B355" s="53">
        <v>28</v>
      </c>
      <c r="C355" s="54" t="s">
        <v>52</v>
      </c>
      <c r="D355" s="55" t="s">
        <v>663</v>
      </c>
      <c r="E355" s="56" t="s">
        <v>664</v>
      </c>
      <c r="F355" s="43">
        <v>35.85</v>
      </c>
      <c r="G355" s="57"/>
      <c r="H355" s="57"/>
      <c r="I355" s="58"/>
      <c r="J355" s="59">
        <f t="shared" si="103"/>
        <v>742.8502282779862</v>
      </c>
      <c r="K355" s="60">
        <v>0.9336178972540682</v>
      </c>
      <c r="L355" s="75">
        <v>1.057124412345268</v>
      </c>
      <c r="M355" s="63">
        <f t="shared" si="104"/>
        <v>25573.5</v>
      </c>
      <c r="N355" s="63">
        <f t="shared" si="105"/>
        <v>23195.2</v>
      </c>
      <c r="O355" s="62"/>
      <c r="P355" s="76"/>
      <c r="Q355" s="77"/>
      <c r="R355" s="76"/>
      <c r="S355" s="77"/>
      <c r="T355" s="64"/>
      <c r="U355" s="45">
        <f t="shared" si="106"/>
        <v>23195.2</v>
      </c>
      <c r="V355" s="65"/>
    </row>
    <row r="356" spans="1:22" ht="12.75" hidden="1">
      <c r="A356" s="52">
        <v>10</v>
      </c>
      <c r="B356" s="53">
        <v>29</v>
      </c>
      <c r="C356" s="54" t="s">
        <v>52</v>
      </c>
      <c r="D356" s="55" t="s">
        <v>665</v>
      </c>
      <c r="E356" s="56" t="s">
        <v>666</v>
      </c>
      <c r="F356" s="43">
        <v>28.203</v>
      </c>
      <c r="G356" s="57"/>
      <c r="H356" s="57"/>
      <c r="I356" s="58"/>
      <c r="J356" s="59">
        <f t="shared" si="103"/>
        <v>742.8502282779862</v>
      </c>
      <c r="K356" s="60">
        <v>0.9336178972540682</v>
      </c>
      <c r="L356" s="75">
        <v>1.052335917894237</v>
      </c>
      <c r="M356" s="63">
        <f t="shared" si="104"/>
        <v>20071.7</v>
      </c>
      <c r="N356" s="63">
        <f t="shared" si="105"/>
        <v>18205</v>
      </c>
      <c r="O356" s="62"/>
      <c r="P356" s="76"/>
      <c r="Q356" s="77"/>
      <c r="R356" s="76"/>
      <c r="S356" s="77"/>
      <c r="T356" s="64"/>
      <c r="U356" s="45">
        <f t="shared" si="106"/>
        <v>18205</v>
      </c>
      <c r="V356" s="65"/>
    </row>
    <row r="357" spans="1:22" ht="12.75" hidden="1">
      <c r="A357" s="52">
        <v>10</v>
      </c>
      <c r="B357" s="53">
        <v>30</v>
      </c>
      <c r="C357" s="54" t="s">
        <v>52</v>
      </c>
      <c r="D357" s="55" t="s">
        <v>667</v>
      </c>
      <c r="E357" s="56" t="s">
        <v>668</v>
      </c>
      <c r="F357" s="43">
        <v>5.761</v>
      </c>
      <c r="G357" s="57"/>
      <c r="H357" s="57"/>
      <c r="I357" s="58"/>
      <c r="J357" s="59">
        <f t="shared" si="103"/>
        <v>742.8502282779862</v>
      </c>
      <c r="K357" s="60">
        <v>0.9336178972540682</v>
      </c>
      <c r="L357" s="75">
        <v>0.9956247580303423</v>
      </c>
      <c r="M357" s="63">
        <f t="shared" si="104"/>
        <v>3986.7</v>
      </c>
      <c r="N357" s="63">
        <f t="shared" si="105"/>
        <v>3615.9</v>
      </c>
      <c r="O357" s="62"/>
      <c r="P357" s="76"/>
      <c r="Q357" s="77"/>
      <c r="R357" s="76"/>
      <c r="S357" s="77"/>
      <c r="T357" s="64"/>
      <c r="U357" s="45">
        <f t="shared" si="106"/>
        <v>3615.9</v>
      </c>
      <c r="V357" s="65"/>
    </row>
    <row r="358" spans="1:22" ht="12.75" hidden="1">
      <c r="A358" s="52">
        <v>10</v>
      </c>
      <c r="B358" s="53">
        <v>31</v>
      </c>
      <c r="C358" s="54" t="s">
        <v>52</v>
      </c>
      <c r="D358" s="55" t="s">
        <v>669</v>
      </c>
      <c r="E358" s="56" t="s">
        <v>670</v>
      </c>
      <c r="F358" s="43">
        <v>27.411</v>
      </c>
      <c r="G358" s="57"/>
      <c r="H358" s="57"/>
      <c r="I358" s="58"/>
      <c r="J358" s="59">
        <f t="shared" si="103"/>
        <v>742.8502282779862</v>
      </c>
      <c r="K358" s="60">
        <v>0.9336178972540682</v>
      </c>
      <c r="L358" s="75">
        <v>1.078096258417572</v>
      </c>
      <c r="M358" s="63">
        <f t="shared" si="104"/>
        <v>19752.9</v>
      </c>
      <c r="N358" s="63">
        <f t="shared" si="105"/>
        <v>17915.9</v>
      </c>
      <c r="O358" s="62"/>
      <c r="P358" s="76"/>
      <c r="Q358" s="77"/>
      <c r="R358" s="76"/>
      <c r="S358" s="77"/>
      <c r="T358" s="64"/>
      <c r="U358" s="45">
        <f t="shared" si="106"/>
        <v>17915.9</v>
      </c>
      <c r="V358" s="65"/>
    </row>
    <row r="359" spans="1:22" ht="12.75" hidden="1">
      <c r="A359" s="52">
        <v>10</v>
      </c>
      <c r="B359" s="53">
        <v>32</v>
      </c>
      <c r="C359" s="54" t="s">
        <v>52</v>
      </c>
      <c r="D359" s="55" t="s">
        <v>671</v>
      </c>
      <c r="E359" s="56" t="s">
        <v>672</v>
      </c>
      <c r="F359" s="43">
        <v>37.335</v>
      </c>
      <c r="G359" s="57"/>
      <c r="H359" s="57"/>
      <c r="I359" s="58"/>
      <c r="J359" s="59">
        <f t="shared" si="103"/>
        <v>742.8502282779862</v>
      </c>
      <c r="K359" s="60">
        <v>0.9336178972540682</v>
      </c>
      <c r="L359" s="75">
        <v>1.0596250506465559</v>
      </c>
      <c r="M359" s="63">
        <f t="shared" si="104"/>
        <v>26665.2</v>
      </c>
      <c r="N359" s="63">
        <f t="shared" si="105"/>
        <v>24185.3</v>
      </c>
      <c r="O359" s="62"/>
      <c r="P359" s="76"/>
      <c r="Q359" s="77"/>
      <c r="R359" s="76"/>
      <c r="S359" s="77"/>
      <c r="T359" s="64"/>
      <c r="U359" s="45">
        <f t="shared" si="106"/>
        <v>24185.3</v>
      </c>
      <c r="V359" s="65"/>
    </row>
    <row r="360" spans="1:22" ht="12.75" hidden="1">
      <c r="A360" s="52">
        <v>10</v>
      </c>
      <c r="B360" s="53">
        <v>33</v>
      </c>
      <c r="C360" s="54" t="s">
        <v>52</v>
      </c>
      <c r="D360" s="55" t="s">
        <v>673</v>
      </c>
      <c r="E360" s="56" t="s">
        <v>674</v>
      </c>
      <c r="F360" s="43">
        <v>22.214</v>
      </c>
      <c r="G360" s="57"/>
      <c r="H360" s="57"/>
      <c r="I360" s="58"/>
      <c r="J360" s="59">
        <f t="shared" si="103"/>
        <v>742.8502282779862</v>
      </c>
      <c r="K360" s="60">
        <v>0.9336178972540682</v>
      </c>
      <c r="L360" s="75">
        <v>1.0708770746821819</v>
      </c>
      <c r="M360" s="63">
        <f t="shared" si="104"/>
        <v>15952.2</v>
      </c>
      <c r="N360" s="63">
        <f t="shared" si="105"/>
        <v>14468.6</v>
      </c>
      <c r="O360" s="62"/>
      <c r="P360" s="76"/>
      <c r="Q360" s="77"/>
      <c r="R360" s="76"/>
      <c r="S360" s="77"/>
      <c r="T360" s="64"/>
      <c r="U360" s="45">
        <f t="shared" si="106"/>
        <v>14468.6</v>
      </c>
      <c r="V360" s="65"/>
    </row>
    <row r="361" spans="1:22" ht="12.75" hidden="1">
      <c r="A361" s="52">
        <v>10</v>
      </c>
      <c r="B361" s="53">
        <v>34</v>
      </c>
      <c r="C361" s="54" t="s">
        <v>52</v>
      </c>
      <c r="D361" s="55" t="s">
        <v>675</v>
      </c>
      <c r="E361" s="56" t="s">
        <v>676</v>
      </c>
      <c r="F361" s="43">
        <v>28.373</v>
      </c>
      <c r="G361" s="57"/>
      <c r="H361" s="57"/>
      <c r="I361" s="58"/>
      <c r="J361" s="59">
        <f t="shared" si="103"/>
        <v>742.8502282779862</v>
      </c>
      <c r="K361" s="60">
        <v>0.9336178972540682</v>
      </c>
      <c r="L361" s="75">
        <v>1.0541631005624774</v>
      </c>
      <c r="M361" s="63">
        <f t="shared" si="104"/>
        <v>20210.7</v>
      </c>
      <c r="N361" s="63">
        <f t="shared" si="105"/>
        <v>18331.1</v>
      </c>
      <c r="O361" s="62"/>
      <c r="P361" s="76"/>
      <c r="Q361" s="77"/>
      <c r="R361" s="76"/>
      <c r="S361" s="77"/>
      <c r="T361" s="64"/>
      <c r="U361" s="45">
        <f t="shared" si="106"/>
        <v>18331.1</v>
      </c>
      <c r="V361" s="65"/>
    </row>
    <row r="362" spans="1:22" s="82" customFormat="1" ht="13.5" hidden="1">
      <c r="A362" s="52">
        <v>10</v>
      </c>
      <c r="B362" s="53">
        <v>35</v>
      </c>
      <c r="C362" s="54" t="s">
        <v>52</v>
      </c>
      <c r="D362" s="55" t="s">
        <v>677</v>
      </c>
      <c r="E362" s="56" t="s">
        <v>678</v>
      </c>
      <c r="F362" s="43">
        <v>31.82</v>
      </c>
      <c r="G362" s="57"/>
      <c r="H362" s="57"/>
      <c r="I362" s="58"/>
      <c r="J362" s="59">
        <f t="shared" si="103"/>
        <v>742.8502282779862</v>
      </c>
      <c r="K362" s="60">
        <v>0.9336178972540682</v>
      </c>
      <c r="L362" s="75">
        <v>1.0375245978321141</v>
      </c>
      <c r="M362" s="63">
        <f t="shared" si="104"/>
        <v>22482.4</v>
      </c>
      <c r="N362" s="63">
        <f t="shared" si="105"/>
        <v>20391.5</v>
      </c>
      <c r="O362" s="62"/>
      <c r="P362" s="76"/>
      <c r="Q362" s="77"/>
      <c r="R362" s="76"/>
      <c r="S362" s="77"/>
      <c r="T362" s="64"/>
      <c r="U362" s="45">
        <f t="shared" si="106"/>
        <v>20391.5</v>
      </c>
      <c r="V362" s="65"/>
    </row>
    <row r="363" spans="1:22" s="82" customFormat="1" ht="13.5" hidden="1">
      <c r="A363" s="52">
        <v>10</v>
      </c>
      <c r="B363" s="53">
        <v>36</v>
      </c>
      <c r="C363" s="54" t="s">
        <v>52</v>
      </c>
      <c r="D363" s="55" t="s">
        <v>679</v>
      </c>
      <c r="E363" s="56" t="s">
        <v>680</v>
      </c>
      <c r="F363" s="43">
        <v>30.729</v>
      </c>
      <c r="G363" s="57"/>
      <c r="H363" s="57"/>
      <c r="I363" s="58"/>
      <c r="J363" s="59">
        <f t="shared" si="103"/>
        <v>742.8502282779862</v>
      </c>
      <c r="K363" s="60">
        <v>0.9336178972540682</v>
      </c>
      <c r="L363" s="75">
        <v>1.0451949286712963</v>
      </c>
      <c r="M363" s="63">
        <f t="shared" si="104"/>
        <v>21793.3</v>
      </c>
      <c r="N363" s="63">
        <f t="shared" si="105"/>
        <v>19766.5</v>
      </c>
      <c r="O363" s="62"/>
      <c r="P363" s="76"/>
      <c r="Q363" s="77"/>
      <c r="R363" s="76"/>
      <c r="S363" s="77"/>
      <c r="T363" s="64"/>
      <c r="U363" s="45">
        <f t="shared" si="106"/>
        <v>19766.5</v>
      </c>
      <c r="V363" s="65"/>
    </row>
    <row r="364" spans="1:22" s="129" customFormat="1" ht="12.75" hidden="1">
      <c r="A364" s="52">
        <v>10</v>
      </c>
      <c r="B364" s="53">
        <v>37</v>
      </c>
      <c r="C364" s="54" t="s">
        <v>52</v>
      </c>
      <c r="D364" s="55" t="s">
        <v>681</v>
      </c>
      <c r="E364" s="56" t="s">
        <v>682</v>
      </c>
      <c r="F364" s="43">
        <v>33.141</v>
      </c>
      <c r="G364" s="57"/>
      <c r="H364" s="57"/>
      <c r="I364" s="58"/>
      <c r="J364" s="59">
        <f t="shared" si="103"/>
        <v>742.8502282779862</v>
      </c>
      <c r="K364" s="60">
        <v>0.9336178972540682</v>
      </c>
      <c r="L364" s="75">
        <v>1.0653140702134858</v>
      </c>
      <c r="M364" s="63">
        <f t="shared" si="104"/>
        <v>23735.2</v>
      </c>
      <c r="N364" s="63">
        <f t="shared" si="105"/>
        <v>21527.8</v>
      </c>
      <c r="O364" s="62"/>
      <c r="P364" s="76"/>
      <c r="Q364" s="77"/>
      <c r="R364" s="76"/>
      <c r="S364" s="77"/>
      <c r="T364" s="64"/>
      <c r="U364" s="45">
        <f t="shared" si="106"/>
        <v>21527.8</v>
      </c>
      <c r="V364" s="65"/>
    </row>
    <row r="365" spans="1:22" s="91" customFormat="1" ht="25.5" hidden="1">
      <c r="A365" s="38">
        <v>10</v>
      </c>
      <c r="B365" s="39" t="s">
        <v>26</v>
      </c>
      <c r="C365" s="40" t="s">
        <v>111</v>
      </c>
      <c r="D365" s="148"/>
      <c r="E365" s="79" t="s">
        <v>112</v>
      </c>
      <c r="F365" s="43">
        <f>F366+F367</f>
        <v>18.543999999999997</v>
      </c>
      <c r="G365" s="149">
        <f>SUM(G366)</f>
        <v>0</v>
      </c>
      <c r="H365" s="149">
        <f>SUM(H366)</f>
        <v>0</v>
      </c>
      <c r="I365" s="150"/>
      <c r="J365" s="151"/>
      <c r="K365" s="150"/>
      <c r="L365" s="152">
        <v>0</v>
      </c>
      <c r="M365" s="163">
        <f aca="true" t="shared" si="107" ref="M365:U365">M366+M367</f>
        <v>12887.099999999999</v>
      </c>
      <c r="N365" s="163">
        <f t="shared" si="107"/>
        <v>11688.599999999999</v>
      </c>
      <c r="O365" s="163">
        <f t="shared" si="107"/>
        <v>0</v>
      </c>
      <c r="P365" s="163">
        <f t="shared" si="107"/>
        <v>0</v>
      </c>
      <c r="Q365" s="163">
        <f t="shared" si="107"/>
        <v>0</v>
      </c>
      <c r="R365" s="163">
        <f t="shared" si="107"/>
        <v>0</v>
      </c>
      <c r="S365" s="163">
        <f t="shared" si="107"/>
        <v>0</v>
      </c>
      <c r="T365" s="163">
        <f t="shared" si="107"/>
        <v>0</v>
      </c>
      <c r="U365" s="163">
        <f t="shared" si="107"/>
        <v>11688.599999999999</v>
      </c>
      <c r="V365" s="125"/>
    </row>
    <row r="366" spans="1:22" s="155" customFormat="1" ht="25.5" hidden="1">
      <c r="A366" s="52">
        <v>10</v>
      </c>
      <c r="B366" s="53">
        <v>38</v>
      </c>
      <c r="C366" s="54" t="s">
        <v>113</v>
      </c>
      <c r="D366" s="164" t="s">
        <v>683</v>
      </c>
      <c r="E366" s="56" t="s">
        <v>684</v>
      </c>
      <c r="F366" s="43">
        <v>10.408</v>
      </c>
      <c r="G366" s="57"/>
      <c r="H366" s="57"/>
      <c r="I366" s="58"/>
      <c r="J366" s="59">
        <f>+($F$7-$O$952-$Q$952-$P$952-$R$952-$S$952)/($F$952-$G$952*1-$H$952*0.5)*0.646*1.0268514</f>
        <v>742.8502282779862</v>
      </c>
      <c r="K366" s="60">
        <v>0.9336178972540682</v>
      </c>
      <c r="L366" s="75">
        <v>1.0159444324093188</v>
      </c>
      <c r="M366" s="63">
        <f>ROUND(J366*(F366-G366-H366*I366)*K366*(0.5+0.5*L366),1)</f>
        <v>7275.9</v>
      </c>
      <c r="N366" s="63">
        <f>ROUND(M366*0.907,1)</f>
        <v>6599.2</v>
      </c>
      <c r="O366" s="62"/>
      <c r="P366" s="76"/>
      <c r="Q366" s="77"/>
      <c r="R366" s="76"/>
      <c r="S366" s="77"/>
      <c r="T366" s="64"/>
      <c r="U366" s="45">
        <f>+N366+O366+T366+R366+S366+Q366</f>
        <v>6599.2</v>
      </c>
      <c r="V366" s="65"/>
    </row>
    <row r="367" spans="1:22" s="165" customFormat="1" ht="25.5" hidden="1">
      <c r="A367" s="104">
        <v>10</v>
      </c>
      <c r="B367" s="105">
        <v>39</v>
      </c>
      <c r="C367" s="106" t="s">
        <v>113</v>
      </c>
      <c r="D367" s="119" t="s">
        <v>685</v>
      </c>
      <c r="E367" s="108" t="s">
        <v>686</v>
      </c>
      <c r="F367" s="109">
        <v>8.136</v>
      </c>
      <c r="G367" s="158"/>
      <c r="H367" s="158"/>
      <c r="I367" s="159"/>
      <c r="J367" s="112">
        <f>+($F$7-$O$952-$Q$952-$P$952-$R$952-$S$952)/($F$952-$G$952*1-$H$952*0.5)*0.646*1.0268514</f>
        <v>742.8502282779862</v>
      </c>
      <c r="K367" s="113">
        <v>0.9336178972540682</v>
      </c>
      <c r="L367" s="75">
        <v>0.9888643342775879</v>
      </c>
      <c r="M367" s="63">
        <f>ROUND(J367*(F367-G367-H367*I367)*K367*(0.5+0.5*L367),1)</f>
        <v>5611.2</v>
      </c>
      <c r="N367" s="63">
        <f>ROUND(M367*0.907,1)</f>
        <v>5089.4</v>
      </c>
      <c r="O367" s="62"/>
      <c r="P367" s="160"/>
      <c r="Q367" s="77"/>
      <c r="R367" s="76"/>
      <c r="S367" s="77"/>
      <c r="T367" s="115"/>
      <c r="U367" s="116">
        <f>+N367+O367+T367+R367+S367+Q367</f>
        <v>5089.4</v>
      </c>
      <c r="V367" s="117"/>
    </row>
    <row r="368" spans="1:22" ht="25.5" hidden="1">
      <c r="A368" s="38">
        <v>11</v>
      </c>
      <c r="B368" s="39" t="s">
        <v>26</v>
      </c>
      <c r="C368" s="40" t="s">
        <v>27</v>
      </c>
      <c r="D368" s="55"/>
      <c r="E368" s="127" t="s">
        <v>687</v>
      </c>
      <c r="F368" s="43">
        <f>F369+F370+F375+F397</f>
        <v>973.15</v>
      </c>
      <c r="G368" s="44">
        <f>+G369+G370+G375+G397</f>
        <v>0</v>
      </c>
      <c r="H368" s="44">
        <f>+H369+H370+H375+H397</f>
        <v>0</v>
      </c>
      <c r="I368" s="45"/>
      <c r="J368" s="46"/>
      <c r="K368" s="47"/>
      <c r="L368" s="48">
        <v>1.030261418794677</v>
      </c>
      <c r="M368" s="49">
        <f aca="true" t="shared" si="108" ref="M368:U368">+M369+M370+M375+M397</f>
        <v>1097943.5999999999</v>
      </c>
      <c r="N368" s="49">
        <f t="shared" si="108"/>
        <v>1097943.6</v>
      </c>
      <c r="O368" s="49">
        <f t="shared" si="108"/>
        <v>0</v>
      </c>
      <c r="P368" s="49">
        <f t="shared" si="108"/>
        <v>262.8</v>
      </c>
      <c r="Q368" s="49">
        <f t="shared" si="108"/>
        <v>17099.5</v>
      </c>
      <c r="R368" s="49">
        <f t="shared" si="108"/>
        <v>24661.6</v>
      </c>
      <c r="S368" s="49">
        <f t="shared" si="108"/>
        <v>206</v>
      </c>
      <c r="T368" s="49">
        <f t="shared" si="108"/>
        <v>0</v>
      </c>
      <c r="U368" s="49">
        <f t="shared" si="108"/>
        <v>1140173.5</v>
      </c>
      <c r="V368" s="65"/>
    </row>
    <row r="369" spans="1:22" ht="12.75" hidden="1">
      <c r="A369" s="52">
        <v>11</v>
      </c>
      <c r="B369" s="53" t="s">
        <v>26</v>
      </c>
      <c r="C369" s="54" t="s">
        <v>29</v>
      </c>
      <c r="D369" s="55" t="s">
        <v>688</v>
      </c>
      <c r="E369" s="56" t="s">
        <v>31</v>
      </c>
      <c r="F369" s="43">
        <v>0</v>
      </c>
      <c r="G369" s="128"/>
      <c r="H369" s="128"/>
      <c r="I369" s="58"/>
      <c r="J369" s="59">
        <f>+($F$7-$O$952-$Q$952-$P$952-R$952-$S$952)/$F$952*0.354*0.951</f>
        <v>376.76602120660414</v>
      </c>
      <c r="K369" s="60">
        <v>0</v>
      </c>
      <c r="L369" s="48">
        <v>1.030261418794677</v>
      </c>
      <c r="M369" s="49">
        <f>ROUND(J369*(F370+F375+F397)*(0.5+0.5*L369),1)</f>
        <v>372197.5</v>
      </c>
      <c r="N369" s="49">
        <f>M369+ROUND(SUM(M371:M374)*0.117+SUM(M376:M396)*0.093+SUM(M398:M400)*0.093,1)+0.1</f>
        <v>447590.3</v>
      </c>
      <c r="O369" s="61"/>
      <c r="P369" s="62">
        <v>262.8</v>
      </c>
      <c r="Q369" s="63">
        <v>17099.5</v>
      </c>
      <c r="R369" s="62">
        <v>24661.6</v>
      </c>
      <c r="S369" s="63">
        <v>206</v>
      </c>
      <c r="T369" s="64"/>
      <c r="U369" s="45">
        <f>N369+O369+P369+Q369+R369+S369+T369</f>
        <v>489820.19999999995</v>
      </c>
      <c r="V369" s="65"/>
    </row>
    <row r="370" spans="1:22" ht="13.5" hidden="1">
      <c r="A370" s="38">
        <v>11</v>
      </c>
      <c r="B370" s="39" t="s">
        <v>26</v>
      </c>
      <c r="C370" s="40" t="s">
        <v>33</v>
      </c>
      <c r="D370" s="55"/>
      <c r="E370" s="79" t="s">
        <v>34</v>
      </c>
      <c r="F370" s="43">
        <f>SUM(F371:F374)</f>
        <v>413.34299999999996</v>
      </c>
      <c r="G370" s="67">
        <f>SUM(G371:G374)</f>
        <v>0</v>
      </c>
      <c r="H370" s="68">
        <f>SUM(H371:H374)</f>
        <v>0</v>
      </c>
      <c r="I370" s="69"/>
      <c r="J370" s="59"/>
      <c r="K370" s="70"/>
      <c r="L370" s="71">
        <v>1.0124798330066158</v>
      </c>
      <c r="M370" s="72">
        <f aca="true" t="shared" si="109" ref="M370:U370">SUM(M371:M374)</f>
        <v>329097.6</v>
      </c>
      <c r="N370" s="72">
        <f t="shared" si="109"/>
        <v>290593.2</v>
      </c>
      <c r="O370" s="72">
        <f t="shared" si="109"/>
        <v>0</v>
      </c>
      <c r="P370" s="72">
        <f t="shared" si="109"/>
        <v>0</v>
      </c>
      <c r="Q370" s="72">
        <f t="shared" si="109"/>
        <v>0</v>
      </c>
      <c r="R370" s="72">
        <f t="shared" si="109"/>
        <v>0</v>
      </c>
      <c r="S370" s="72">
        <f t="shared" si="109"/>
        <v>0</v>
      </c>
      <c r="T370" s="72">
        <f t="shared" si="109"/>
        <v>2599.4</v>
      </c>
      <c r="U370" s="72">
        <f t="shared" si="109"/>
        <v>293192.6</v>
      </c>
      <c r="V370" s="73"/>
    </row>
    <row r="371" spans="1:22" ht="25.5" hidden="1">
      <c r="A371" s="52">
        <v>11</v>
      </c>
      <c r="B371" s="53" t="s">
        <v>35</v>
      </c>
      <c r="C371" s="54" t="s">
        <v>36</v>
      </c>
      <c r="D371" s="55" t="s">
        <v>689</v>
      </c>
      <c r="E371" s="74" t="s">
        <v>690</v>
      </c>
      <c r="F371" s="43">
        <v>239.699</v>
      </c>
      <c r="G371" s="162"/>
      <c r="H371" s="162"/>
      <c r="I371" s="58"/>
      <c r="J371" s="59">
        <f>+($F$7-$O$952-$Q$952-$P$952-$R$952-$S$952)/($F$952-$G$952*1-$H$952*0.5)*0.646*1.0268514</f>
        <v>742.8502282779862</v>
      </c>
      <c r="K371" s="60">
        <v>1.065228053001168</v>
      </c>
      <c r="L371" s="75">
        <v>0.9903131646718897</v>
      </c>
      <c r="M371" s="63">
        <f>ROUND(J371*(F371-G371-H371*I371)*K371*(0.5+0.5*L371),1)</f>
        <v>188756.3</v>
      </c>
      <c r="N371" s="63">
        <f>ROUND(M371*0.883,1)</f>
        <v>166671.8</v>
      </c>
      <c r="O371" s="62"/>
      <c r="P371" s="76"/>
      <c r="Q371" s="77"/>
      <c r="R371" s="76"/>
      <c r="S371" s="77"/>
      <c r="T371" s="64"/>
      <c r="U371" s="45">
        <f>+N371+O371+T371+R371+S371+Q371</f>
        <v>166671.8</v>
      </c>
      <c r="V371" s="65"/>
    </row>
    <row r="372" spans="1:22" ht="12.75" hidden="1">
      <c r="A372" s="52">
        <v>11</v>
      </c>
      <c r="B372" s="53" t="s">
        <v>32</v>
      </c>
      <c r="C372" s="54" t="s">
        <v>36</v>
      </c>
      <c r="D372" s="55" t="s">
        <v>691</v>
      </c>
      <c r="E372" s="78" t="s">
        <v>692</v>
      </c>
      <c r="F372" s="43">
        <v>28.453</v>
      </c>
      <c r="G372" s="57"/>
      <c r="H372" s="57"/>
      <c r="I372" s="58"/>
      <c r="J372" s="59">
        <f>+($F$7-$O$952-$Q$952-$P$952-$R$952-$S$952)/($F$952-$G$952*1-$H$952*0.5)*0.646*1.0268514</f>
        <v>742.8502282779862</v>
      </c>
      <c r="K372" s="60">
        <v>1.065228053001168</v>
      </c>
      <c r="L372" s="75">
        <v>1.0352915368660427</v>
      </c>
      <c r="M372" s="63">
        <f>ROUND(J372*(F372-G372-H372*I372)*K372*(0.5+0.5*L372),1)</f>
        <v>22912.3</v>
      </c>
      <c r="N372" s="63">
        <f>ROUND(M372*0.883,1)</f>
        <v>20231.6</v>
      </c>
      <c r="O372" s="62"/>
      <c r="P372" s="76"/>
      <c r="Q372" s="77"/>
      <c r="R372" s="76"/>
      <c r="S372" s="77"/>
      <c r="T372" s="64"/>
      <c r="U372" s="45">
        <f>+N372+O372+T372+R372+S372+Q372</f>
        <v>20231.6</v>
      </c>
      <c r="V372" s="65"/>
    </row>
    <row r="373" spans="1:22" ht="12.75" hidden="1">
      <c r="A373" s="52">
        <v>11</v>
      </c>
      <c r="B373" s="53" t="s">
        <v>118</v>
      </c>
      <c r="C373" s="54" t="s">
        <v>36</v>
      </c>
      <c r="D373" s="55" t="s">
        <v>693</v>
      </c>
      <c r="E373" s="78" t="s">
        <v>694</v>
      </c>
      <c r="F373" s="43">
        <v>91.821</v>
      </c>
      <c r="G373" s="57"/>
      <c r="H373" s="57"/>
      <c r="I373" s="58"/>
      <c r="J373" s="59">
        <f>+($F$7-$O$952-$Q$952-$P$952-$R$952-$S$952)/($F$952-$G$952*1-$H$952*0.5)*0.646*1.0268514</f>
        <v>742.8502282779862</v>
      </c>
      <c r="K373" s="60">
        <v>1.065228053001168</v>
      </c>
      <c r="L373" s="75">
        <v>1.033545447613493</v>
      </c>
      <c r="M373" s="63">
        <f>ROUND(J373*(F373-G373-H373*I373)*K373*(0.5+0.5*L373),1)</f>
        <v>73877.1</v>
      </c>
      <c r="N373" s="63">
        <f>ROUND(M373*0.883,1)</f>
        <v>65233.5</v>
      </c>
      <c r="O373" s="62"/>
      <c r="P373" s="76"/>
      <c r="Q373" s="77"/>
      <c r="R373" s="76"/>
      <c r="S373" s="77"/>
      <c r="T373" s="64"/>
      <c r="U373" s="45">
        <f>+N373+O373+T373+R373+S373+Q373</f>
        <v>65233.5</v>
      </c>
      <c r="V373" s="65"/>
    </row>
    <row r="374" spans="1:22" ht="12.75" hidden="1">
      <c r="A374" s="52">
        <v>11</v>
      </c>
      <c r="B374" s="53" t="s">
        <v>127</v>
      </c>
      <c r="C374" s="54" t="s">
        <v>36</v>
      </c>
      <c r="D374" s="55" t="s">
        <v>695</v>
      </c>
      <c r="E374" s="78" t="s">
        <v>696</v>
      </c>
      <c r="F374" s="43">
        <v>53.37</v>
      </c>
      <c r="G374" s="57"/>
      <c r="H374" s="57"/>
      <c r="I374" s="58"/>
      <c r="J374" s="59">
        <f>+($F$7-$O$952-$Q$952-$P$952-$R$952-$S$952)/($F$952-$G$952*1-$H$952*0.5)*0.646*1.0268514</f>
        <v>742.8502282779862</v>
      </c>
      <c r="K374" s="60">
        <v>1.065228053001168</v>
      </c>
      <c r="L374" s="75">
        <v>1.0625092989249973</v>
      </c>
      <c r="M374" s="63">
        <f>ROUND(J374*(F374-G374-H374*I374)*K374*(0.5+0.5*L374),1)</f>
        <v>43551.9</v>
      </c>
      <c r="N374" s="63">
        <f>ROUND(M374*0.883,1)</f>
        <v>38456.3</v>
      </c>
      <c r="O374" s="62"/>
      <c r="P374" s="76"/>
      <c r="Q374" s="77"/>
      <c r="R374" s="76"/>
      <c r="S374" s="77"/>
      <c r="T374" s="64">
        <f>ROUND(N394*0.32,1)</f>
        <v>2599.4</v>
      </c>
      <c r="U374" s="45">
        <f>+N374+O374+T374+R374+S374+Q374</f>
        <v>41055.700000000004</v>
      </c>
      <c r="V374" s="65"/>
    </row>
    <row r="375" spans="1:22" ht="31.5" customHeight="1" hidden="1">
      <c r="A375" s="38">
        <v>11</v>
      </c>
      <c r="B375" s="39" t="s">
        <v>26</v>
      </c>
      <c r="C375" s="40" t="s">
        <v>49</v>
      </c>
      <c r="D375" s="55"/>
      <c r="E375" s="79" t="s">
        <v>50</v>
      </c>
      <c r="F375" s="43">
        <f>SUM(F376:F396)</f>
        <v>514.696</v>
      </c>
      <c r="G375" s="67">
        <f>SUM(G376:G396)</f>
        <v>0</v>
      </c>
      <c r="H375" s="68">
        <f>SUM(H376:H396)</f>
        <v>0</v>
      </c>
      <c r="I375" s="69"/>
      <c r="J375" s="80"/>
      <c r="K375" s="70"/>
      <c r="L375" s="71">
        <v>1.0432916761283335</v>
      </c>
      <c r="M375" s="72">
        <f aca="true" t="shared" si="110" ref="M375:U375">SUM(M376:M396)</f>
        <v>365022.8</v>
      </c>
      <c r="N375" s="72">
        <f t="shared" si="110"/>
        <v>331075.6</v>
      </c>
      <c r="O375" s="72">
        <f t="shared" si="110"/>
        <v>0</v>
      </c>
      <c r="P375" s="72">
        <f t="shared" si="110"/>
        <v>0</v>
      </c>
      <c r="Q375" s="72">
        <f t="shared" si="110"/>
        <v>0</v>
      </c>
      <c r="R375" s="72">
        <f t="shared" si="110"/>
        <v>0</v>
      </c>
      <c r="S375" s="72">
        <f t="shared" si="110"/>
        <v>0</v>
      </c>
      <c r="T375" s="72">
        <f t="shared" si="110"/>
        <v>-2599.4</v>
      </c>
      <c r="U375" s="72">
        <f t="shared" si="110"/>
        <v>328476.2</v>
      </c>
      <c r="V375" s="73"/>
    </row>
    <row r="376" spans="1:22" ht="12.75" hidden="1">
      <c r="A376" s="52">
        <v>11</v>
      </c>
      <c r="B376" s="53" t="s">
        <v>51</v>
      </c>
      <c r="C376" s="54" t="s">
        <v>52</v>
      </c>
      <c r="D376" s="55" t="s">
        <v>697</v>
      </c>
      <c r="E376" s="56" t="s">
        <v>698</v>
      </c>
      <c r="F376" s="43">
        <v>14.062</v>
      </c>
      <c r="G376" s="128"/>
      <c r="H376" s="128"/>
      <c r="I376" s="58"/>
      <c r="J376" s="59">
        <f aca="true" t="shared" si="111" ref="J376:J396">+($F$7-$O$952-$Q$952-$P$952-$R$952-$S$952)/($F$952-$G$952*1-$H$952*0.5)*0.646*1.0268514</f>
        <v>742.8502282779862</v>
      </c>
      <c r="K376" s="60">
        <v>0.9336178972540682</v>
      </c>
      <c r="L376" s="75">
        <v>1.0103044454140642</v>
      </c>
      <c r="M376" s="63">
        <f aca="true" t="shared" si="112" ref="M376:M396">ROUND(J376*(F376-G376-H376*I376)*K376*(0.5+0.5*L376),1)</f>
        <v>9802.8</v>
      </c>
      <c r="N376" s="63">
        <f aca="true" t="shared" si="113" ref="N376:N396">ROUND(M376*0.907,1)</f>
        <v>8891.1</v>
      </c>
      <c r="O376" s="62"/>
      <c r="P376" s="76"/>
      <c r="Q376" s="77"/>
      <c r="R376" s="76"/>
      <c r="S376" s="77"/>
      <c r="T376" s="64"/>
      <c r="U376" s="45">
        <f aca="true" t="shared" si="114" ref="U376:U396">+N376+O376+T376+R376+S376+Q376</f>
        <v>8891.1</v>
      </c>
      <c r="V376" s="65"/>
    </row>
    <row r="377" spans="1:22" ht="12.75" hidden="1">
      <c r="A377" s="52">
        <v>11</v>
      </c>
      <c r="B377" s="53" t="s">
        <v>55</v>
      </c>
      <c r="C377" s="54" t="s">
        <v>52</v>
      </c>
      <c r="D377" s="55" t="s">
        <v>699</v>
      </c>
      <c r="E377" s="56" t="s">
        <v>700</v>
      </c>
      <c r="F377" s="43">
        <v>12.614</v>
      </c>
      <c r="G377" s="57"/>
      <c r="H377" s="57"/>
      <c r="I377" s="58"/>
      <c r="J377" s="59">
        <f t="shared" si="111"/>
        <v>742.8502282779862</v>
      </c>
      <c r="K377" s="60">
        <v>0.9336178972540682</v>
      </c>
      <c r="L377" s="75">
        <v>1.0682506790375736</v>
      </c>
      <c r="M377" s="63">
        <f t="shared" si="112"/>
        <v>9046.8</v>
      </c>
      <c r="N377" s="63">
        <f t="shared" si="113"/>
        <v>8205.4</v>
      </c>
      <c r="O377" s="62"/>
      <c r="P377" s="76"/>
      <c r="Q377" s="77"/>
      <c r="R377" s="76"/>
      <c r="S377" s="77"/>
      <c r="T377" s="64"/>
      <c r="U377" s="45">
        <f t="shared" si="114"/>
        <v>8205.4</v>
      </c>
      <c r="V377" s="65"/>
    </row>
    <row r="378" spans="1:22" ht="12.75" hidden="1">
      <c r="A378" s="52">
        <v>11</v>
      </c>
      <c r="B378" s="53" t="s">
        <v>58</v>
      </c>
      <c r="C378" s="54" t="s">
        <v>52</v>
      </c>
      <c r="D378" s="55" t="s">
        <v>701</v>
      </c>
      <c r="E378" s="56" t="s">
        <v>702</v>
      </c>
      <c r="F378" s="43">
        <v>38.263</v>
      </c>
      <c r="G378" s="57"/>
      <c r="H378" s="57"/>
      <c r="I378" s="58"/>
      <c r="J378" s="59">
        <f t="shared" si="111"/>
        <v>742.8502282779862</v>
      </c>
      <c r="K378" s="60">
        <v>0.9336178972540682</v>
      </c>
      <c r="L378" s="75">
        <v>1.0517017065031713</v>
      </c>
      <c r="M378" s="63">
        <f t="shared" si="112"/>
        <v>27222.9</v>
      </c>
      <c r="N378" s="63">
        <f t="shared" si="113"/>
        <v>24691.2</v>
      </c>
      <c r="O378" s="62"/>
      <c r="P378" s="76"/>
      <c r="Q378" s="77"/>
      <c r="R378" s="76"/>
      <c r="S378" s="77"/>
      <c r="T378" s="64"/>
      <c r="U378" s="45">
        <f t="shared" si="114"/>
        <v>24691.2</v>
      </c>
      <c r="V378" s="65"/>
    </row>
    <row r="379" spans="1:22" ht="12.75" hidden="1">
      <c r="A379" s="52">
        <v>11</v>
      </c>
      <c r="B379" s="53" t="s">
        <v>61</v>
      </c>
      <c r="C379" s="54" t="s">
        <v>52</v>
      </c>
      <c r="D379" s="55" t="s">
        <v>703</v>
      </c>
      <c r="E379" s="56" t="s">
        <v>704</v>
      </c>
      <c r="F379" s="43">
        <v>31.041</v>
      </c>
      <c r="G379" s="57"/>
      <c r="H379" s="57"/>
      <c r="I379" s="58"/>
      <c r="J379" s="59">
        <f t="shared" si="111"/>
        <v>742.8502282779862</v>
      </c>
      <c r="K379" s="60">
        <v>0.9336178972540682</v>
      </c>
      <c r="L379" s="75">
        <v>1.0789654111854832</v>
      </c>
      <c r="M379" s="63">
        <f t="shared" si="112"/>
        <v>22378.1</v>
      </c>
      <c r="N379" s="63">
        <f t="shared" si="113"/>
        <v>20296.9</v>
      </c>
      <c r="O379" s="62"/>
      <c r="P379" s="76"/>
      <c r="Q379" s="77"/>
      <c r="R379" s="76"/>
      <c r="S379" s="77"/>
      <c r="T379" s="64"/>
      <c r="U379" s="45">
        <f t="shared" si="114"/>
        <v>20296.9</v>
      </c>
      <c r="V379" s="65"/>
    </row>
    <row r="380" spans="1:22" ht="12.75" hidden="1">
      <c r="A380" s="52">
        <v>11</v>
      </c>
      <c r="B380" s="53" t="s">
        <v>64</v>
      </c>
      <c r="C380" s="54" t="s">
        <v>52</v>
      </c>
      <c r="D380" s="55" t="s">
        <v>705</v>
      </c>
      <c r="E380" s="56" t="s">
        <v>706</v>
      </c>
      <c r="F380" s="43">
        <v>33.874</v>
      </c>
      <c r="G380" s="57"/>
      <c r="H380" s="57"/>
      <c r="I380" s="58"/>
      <c r="J380" s="59">
        <f t="shared" si="111"/>
        <v>742.8502282779862</v>
      </c>
      <c r="K380" s="60">
        <v>0.9336178972540682</v>
      </c>
      <c r="L380" s="75">
        <v>1.0581169852966257</v>
      </c>
      <c r="M380" s="63">
        <f t="shared" si="112"/>
        <v>24175.6</v>
      </c>
      <c r="N380" s="63">
        <f t="shared" si="113"/>
        <v>21927.3</v>
      </c>
      <c r="O380" s="62"/>
      <c r="P380" s="76"/>
      <c r="Q380" s="77"/>
      <c r="R380" s="76"/>
      <c r="S380" s="77"/>
      <c r="T380" s="64"/>
      <c r="U380" s="45">
        <f t="shared" si="114"/>
        <v>21927.3</v>
      </c>
      <c r="V380" s="65"/>
    </row>
    <row r="381" spans="1:22" s="82" customFormat="1" ht="13.5" hidden="1">
      <c r="A381" s="52">
        <v>11</v>
      </c>
      <c r="B381" s="53">
        <v>10</v>
      </c>
      <c r="C381" s="54" t="s">
        <v>52</v>
      </c>
      <c r="D381" s="55" t="s">
        <v>707</v>
      </c>
      <c r="E381" s="56" t="s">
        <v>580</v>
      </c>
      <c r="F381" s="43">
        <v>34.457</v>
      </c>
      <c r="G381" s="57"/>
      <c r="H381" s="57"/>
      <c r="I381" s="58"/>
      <c r="J381" s="59">
        <f t="shared" si="111"/>
        <v>742.8502282779862</v>
      </c>
      <c r="K381" s="60">
        <v>0.9336178972540682</v>
      </c>
      <c r="L381" s="75">
        <v>1.023364680248921</v>
      </c>
      <c r="M381" s="63">
        <f t="shared" si="112"/>
        <v>24176.4</v>
      </c>
      <c r="N381" s="63">
        <f t="shared" si="113"/>
        <v>21928</v>
      </c>
      <c r="O381" s="62"/>
      <c r="P381" s="76"/>
      <c r="Q381" s="77"/>
      <c r="R381" s="76"/>
      <c r="S381" s="77"/>
      <c r="T381" s="64"/>
      <c r="U381" s="45">
        <f t="shared" si="114"/>
        <v>21928</v>
      </c>
      <c r="V381" s="65"/>
    </row>
    <row r="382" spans="1:22" s="129" customFormat="1" ht="12.75" hidden="1">
      <c r="A382" s="52">
        <v>11</v>
      </c>
      <c r="B382" s="53">
        <v>11</v>
      </c>
      <c r="C382" s="54" t="s">
        <v>52</v>
      </c>
      <c r="D382" s="55" t="s">
        <v>708</v>
      </c>
      <c r="E382" s="56" t="s">
        <v>709</v>
      </c>
      <c r="F382" s="43">
        <v>22.96</v>
      </c>
      <c r="G382" s="57"/>
      <c r="H382" s="57"/>
      <c r="I382" s="58"/>
      <c r="J382" s="59">
        <f t="shared" si="111"/>
        <v>742.8502282779862</v>
      </c>
      <c r="K382" s="60">
        <v>0.9336178972540682</v>
      </c>
      <c r="L382" s="75">
        <v>1.0420242435986087</v>
      </c>
      <c r="M382" s="63">
        <f t="shared" si="112"/>
        <v>16258.2</v>
      </c>
      <c r="N382" s="63">
        <f t="shared" si="113"/>
        <v>14746.2</v>
      </c>
      <c r="O382" s="62"/>
      <c r="P382" s="76"/>
      <c r="Q382" s="77"/>
      <c r="R382" s="76"/>
      <c r="S382" s="77"/>
      <c r="T382" s="64"/>
      <c r="U382" s="45">
        <f t="shared" si="114"/>
        <v>14746.2</v>
      </c>
      <c r="V382" s="65"/>
    </row>
    <row r="383" spans="1:22" ht="12.75" hidden="1">
      <c r="A383" s="52">
        <v>11</v>
      </c>
      <c r="B383" s="53">
        <v>12</v>
      </c>
      <c r="C383" s="54" t="s">
        <v>52</v>
      </c>
      <c r="D383" s="55" t="s">
        <v>710</v>
      </c>
      <c r="E383" s="56" t="s">
        <v>711</v>
      </c>
      <c r="F383" s="43">
        <v>37.08</v>
      </c>
      <c r="G383" s="57"/>
      <c r="H383" s="57"/>
      <c r="I383" s="58"/>
      <c r="J383" s="59">
        <f t="shared" si="111"/>
        <v>742.8502282779862</v>
      </c>
      <c r="K383" s="60">
        <v>0.9336178972540682</v>
      </c>
      <c r="L383" s="75">
        <v>1.0314644032566012</v>
      </c>
      <c r="M383" s="63">
        <f t="shared" si="112"/>
        <v>26121</v>
      </c>
      <c r="N383" s="63">
        <f t="shared" si="113"/>
        <v>23691.7</v>
      </c>
      <c r="O383" s="62"/>
      <c r="P383" s="76"/>
      <c r="Q383" s="77"/>
      <c r="R383" s="76"/>
      <c r="S383" s="77"/>
      <c r="T383" s="64"/>
      <c r="U383" s="45">
        <f t="shared" si="114"/>
        <v>23691.7</v>
      </c>
      <c r="V383" s="65"/>
    </row>
    <row r="384" spans="1:22" ht="12.75" hidden="1">
      <c r="A384" s="52">
        <v>11</v>
      </c>
      <c r="B384" s="53">
        <v>13</v>
      </c>
      <c r="C384" s="54" t="s">
        <v>52</v>
      </c>
      <c r="D384" s="55" t="s">
        <v>712</v>
      </c>
      <c r="E384" s="56" t="s">
        <v>713</v>
      </c>
      <c r="F384" s="43">
        <v>15.39</v>
      </c>
      <c r="G384" s="57"/>
      <c r="H384" s="57"/>
      <c r="I384" s="58"/>
      <c r="J384" s="59">
        <f t="shared" si="111"/>
        <v>742.8502282779862</v>
      </c>
      <c r="K384" s="60">
        <v>0.9336178972540682</v>
      </c>
      <c r="L384" s="75">
        <v>1.0039861546464677</v>
      </c>
      <c r="M384" s="63">
        <f t="shared" si="112"/>
        <v>10694.8</v>
      </c>
      <c r="N384" s="63">
        <f t="shared" si="113"/>
        <v>9700.2</v>
      </c>
      <c r="O384" s="62"/>
      <c r="P384" s="76"/>
      <c r="Q384" s="77"/>
      <c r="R384" s="76"/>
      <c r="S384" s="77"/>
      <c r="T384" s="64"/>
      <c r="U384" s="45">
        <f t="shared" si="114"/>
        <v>9700.2</v>
      </c>
      <c r="V384" s="65"/>
    </row>
    <row r="385" spans="1:22" ht="12.75" hidden="1">
      <c r="A385" s="52">
        <v>11</v>
      </c>
      <c r="B385" s="53">
        <v>14</v>
      </c>
      <c r="C385" s="54" t="s">
        <v>52</v>
      </c>
      <c r="D385" s="55" t="s">
        <v>714</v>
      </c>
      <c r="E385" s="56" t="s">
        <v>715</v>
      </c>
      <c r="F385" s="43">
        <v>29.788</v>
      </c>
      <c r="G385" s="57"/>
      <c r="H385" s="57"/>
      <c r="I385" s="58"/>
      <c r="J385" s="59">
        <f t="shared" si="111"/>
        <v>742.8502282779862</v>
      </c>
      <c r="K385" s="60">
        <v>0.9336178972540682</v>
      </c>
      <c r="L385" s="75">
        <v>1.0324707250533727</v>
      </c>
      <c r="M385" s="63">
        <f t="shared" si="112"/>
        <v>20994.5</v>
      </c>
      <c r="N385" s="63">
        <f t="shared" si="113"/>
        <v>19042</v>
      </c>
      <c r="O385" s="62"/>
      <c r="P385" s="76"/>
      <c r="Q385" s="77"/>
      <c r="R385" s="76"/>
      <c r="S385" s="77"/>
      <c r="T385" s="64"/>
      <c r="U385" s="45">
        <f t="shared" si="114"/>
        <v>19042</v>
      </c>
      <c r="V385" s="65"/>
    </row>
    <row r="386" spans="1:22" ht="12.75" hidden="1">
      <c r="A386" s="52">
        <v>11</v>
      </c>
      <c r="B386" s="53">
        <v>15</v>
      </c>
      <c r="C386" s="54" t="s">
        <v>52</v>
      </c>
      <c r="D386" s="55" t="s">
        <v>716</v>
      </c>
      <c r="E386" s="56" t="s">
        <v>717</v>
      </c>
      <c r="F386" s="43">
        <v>15.533</v>
      </c>
      <c r="G386" s="57"/>
      <c r="H386" s="57"/>
      <c r="I386" s="58"/>
      <c r="J386" s="59">
        <f t="shared" si="111"/>
        <v>742.8502282779862</v>
      </c>
      <c r="K386" s="60">
        <v>0.9336178972540682</v>
      </c>
      <c r="L386" s="75">
        <v>1.0371795340424579</v>
      </c>
      <c r="M386" s="63">
        <f t="shared" si="112"/>
        <v>10973</v>
      </c>
      <c r="N386" s="63">
        <f t="shared" si="113"/>
        <v>9952.5</v>
      </c>
      <c r="O386" s="62"/>
      <c r="P386" s="76"/>
      <c r="Q386" s="77"/>
      <c r="R386" s="76"/>
      <c r="S386" s="77"/>
      <c r="T386" s="64"/>
      <c r="U386" s="45">
        <f t="shared" si="114"/>
        <v>9952.5</v>
      </c>
      <c r="V386" s="65"/>
    </row>
    <row r="387" spans="1:22" ht="12.75" hidden="1">
      <c r="A387" s="52">
        <v>11</v>
      </c>
      <c r="B387" s="53">
        <v>16</v>
      </c>
      <c r="C387" s="54" t="s">
        <v>52</v>
      </c>
      <c r="D387" s="55" t="s">
        <v>718</v>
      </c>
      <c r="E387" s="56" t="s">
        <v>719</v>
      </c>
      <c r="F387" s="43">
        <v>24.663</v>
      </c>
      <c r="G387" s="57"/>
      <c r="H387" s="57"/>
      <c r="I387" s="58"/>
      <c r="J387" s="59">
        <f t="shared" si="111"/>
        <v>742.8502282779862</v>
      </c>
      <c r="K387" s="60">
        <v>0.9336178972540682</v>
      </c>
      <c r="L387" s="75">
        <v>1.0535435020105939</v>
      </c>
      <c r="M387" s="63">
        <f t="shared" si="112"/>
        <v>17562.7</v>
      </c>
      <c r="N387" s="63">
        <f t="shared" si="113"/>
        <v>15929.4</v>
      </c>
      <c r="O387" s="62"/>
      <c r="P387" s="76"/>
      <c r="Q387" s="77"/>
      <c r="R387" s="76"/>
      <c r="S387" s="77"/>
      <c r="T387" s="64"/>
      <c r="U387" s="45">
        <f t="shared" si="114"/>
        <v>15929.4</v>
      </c>
      <c r="V387" s="65"/>
    </row>
    <row r="388" spans="1:22" ht="12.75" hidden="1">
      <c r="A388" s="52">
        <v>11</v>
      </c>
      <c r="B388" s="53">
        <v>17</v>
      </c>
      <c r="C388" s="54" t="s">
        <v>52</v>
      </c>
      <c r="D388" s="55" t="s">
        <v>720</v>
      </c>
      <c r="E388" s="56" t="s">
        <v>721</v>
      </c>
      <c r="F388" s="43">
        <v>28.498</v>
      </c>
      <c r="G388" s="57"/>
      <c r="H388" s="57"/>
      <c r="I388" s="58"/>
      <c r="J388" s="59">
        <f t="shared" si="111"/>
        <v>742.8502282779862</v>
      </c>
      <c r="K388" s="60">
        <v>0.9336178972540682</v>
      </c>
      <c r="L388" s="75">
        <v>1.0484399392627064</v>
      </c>
      <c r="M388" s="63">
        <f t="shared" si="112"/>
        <v>20243.1</v>
      </c>
      <c r="N388" s="63">
        <f t="shared" si="113"/>
        <v>18360.5</v>
      </c>
      <c r="O388" s="62"/>
      <c r="P388" s="76"/>
      <c r="Q388" s="77"/>
      <c r="R388" s="76"/>
      <c r="S388" s="77"/>
      <c r="T388" s="64"/>
      <c r="U388" s="45">
        <f t="shared" si="114"/>
        <v>18360.5</v>
      </c>
      <c r="V388" s="65"/>
    </row>
    <row r="389" spans="1:22" ht="12.75" hidden="1">
      <c r="A389" s="52">
        <v>11</v>
      </c>
      <c r="B389" s="53">
        <v>18</v>
      </c>
      <c r="C389" s="54" t="s">
        <v>52</v>
      </c>
      <c r="D389" s="55" t="s">
        <v>722</v>
      </c>
      <c r="E389" s="56" t="s">
        <v>723</v>
      </c>
      <c r="F389" s="43">
        <v>22.473</v>
      </c>
      <c r="G389" s="57"/>
      <c r="H389" s="57"/>
      <c r="I389" s="58"/>
      <c r="J389" s="59">
        <f t="shared" si="111"/>
        <v>742.8502282779862</v>
      </c>
      <c r="K389" s="60">
        <v>0.9336178972540682</v>
      </c>
      <c r="L389" s="75">
        <v>1.0210000044025374</v>
      </c>
      <c r="M389" s="63">
        <f t="shared" si="112"/>
        <v>15749.5</v>
      </c>
      <c r="N389" s="63">
        <f t="shared" si="113"/>
        <v>14284.8</v>
      </c>
      <c r="O389" s="62"/>
      <c r="P389" s="76"/>
      <c r="Q389" s="77"/>
      <c r="R389" s="76"/>
      <c r="S389" s="77"/>
      <c r="T389" s="64"/>
      <c r="U389" s="45">
        <f t="shared" si="114"/>
        <v>14284.8</v>
      </c>
      <c r="V389" s="65"/>
    </row>
    <row r="390" spans="1:22" ht="12.75" hidden="1">
      <c r="A390" s="52">
        <v>11</v>
      </c>
      <c r="B390" s="53">
        <v>19</v>
      </c>
      <c r="C390" s="54" t="s">
        <v>52</v>
      </c>
      <c r="D390" s="55" t="s">
        <v>724</v>
      </c>
      <c r="E390" s="56" t="s">
        <v>356</v>
      </c>
      <c r="F390" s="43">
        <v>27.483</v>
      </c>
      <c r="G390" s="57"/>
      <c r="H390" s="57"/>
      <c r="I390" s="58"/>
      <c r="J390" s="59">
        <f t="shared" si="111"/>
        <v>742.8502282779862</v>
      </c>
      <c r="K390" s="60">
        <v>0.9336178972540682</v>
      </c>
      <c r="L390" s="75">
        <v>1.0945274588268867</v>
      </c>
      <c r="M390" s="63">
        <f t="shared" si="112"/>
        <v>19961.4</v>
      </c>
      <c r="N390" s="63">
        <f t="shared" si="113"/>
        <v>18105</v>
      </c>
      <c r="O390" s="62"/>
      <c r="P390" s="76"/>
      <c r="Q390" s="77"/>
      <c r="R390" s="76"/>
      <c r="S390" s="77"/>
      <c r="T390" s="64"/>
      <c r="U390" s="45">
        <f t="shared" si="114"/>
        <v>18105</v>
      </c>
      <c r="V390" s="65"/>
    </row>
    <row r="391" spans="1:22" ht="12.75" hidden="1">
      <c r="A391" s="52">
        <v>11</v>
      </c>
      <c r="B391" s="53">
        <v>20</v>
      </c>
      <c r="C391" s="54" t="s">
        <v>52</v>
      </c>
      <c r="D391" s="55" t="s">
        <v>725</v>
      </c>
      <c r="E391" s="56" t="s">
        <v>726</v>
      </c>
      <c r="F391" s="43">
        <v>35.644</v>
      </c>
      <c r="G391" s="57"/>
      <c r="H391" s="57"/>
      <c r="I391" s="58"/>
      <c r="J391" s="59">
        <f t="shared" si="111"/>
        <v>742.8502282779862</v>
      </c>
      <c r="K391" s="60">
        <v>0.9336178972540682</v>
      </c>
      <c r="L391" s="75">
        <v>1.040303233831831</v>
      </c>
      <c r="M391" s="63">
        <f t="shared" si="112"/>
        <v>25218.6</v>
      </c>
      <c r="N391" s="63">
        <f t="shared" si="113"/>
        <v>22873.3</v>
      </c>
      <c r="O391" s="62"/>
      <c r="P391" s="76"/>
      <c r="Q391" s="77"/>
      <c r="R391" s="76"/>
      <c r="S391" s="77"/>
      <c r="T391" s="64"/>
      <c r="U391" s="45">
        <f t="shared" si="114"/>
        <v>22873.3</v>
      </c>
      <c r="V391" s="65"/>
    </row>
    <row r="392" spans="1:22" ht="12.75" hidden="1">
      <c r="A392" s="52">
        <v>11</v>
      </c>
      <c r="B392" s="53">
        <v>21</v>
      </c>
      <c r="C392" s="54" t="s">
        <v>52</v>
      </c>
      <c r="D392" s="55" t="s">
        <v>727</v>
      </c>
      <c r="E392" s="56" t="s">
        <v>728</v>
      </c>
      <c r="F392" s="43">
        <v>18.422</v>
      </c>
      <c r="G392" s="57"/>
      <c r="H392" s="57"/>
      <c r="I392" s="58"/>
      <c r="J392" s="59">
        <f t="shared" si="111"/>
        <v>742.8502282779862</v>
      </c>
      <c r="K392" s="60">
        <v>0.9336178972540682</v>
      </c>
      <c r="L392" s="75">
        <v>1.0398686461880675</v>
      </c>
      <c r="M392" s="63">
        <f t="shared" si="112"/>
        <v>13031.1</v>
      </c>
      <c r="N392" s="63">
        <f t="shared" si="113"/>
        <v>11819.2</v>
      </c>
      <c r="O392" s="62"/>
      <c r="P392" s="76"/>
      <c r="Q392" s="77"/>
      <c r="R392" s="76"/>
      <c r="S392" s="77"/>
      <c r="T392" s="64"/>
      <c r="U392" s="45">
        <f t="shared" si="114"/>
        <v>11819.2</v>
      </c>
      <c r="V392" s="65"/>
    </row>
    <row r="393" spans="1:22" ht="12.75" hidden="1">
      <c r="A393" s="52">
        <v>11</v>
      </c>
      <c r="B393" s="53">
        <v>22</v>
      </c>
      <c r="C393" s="54" t="s">
        <v>52</v>
      </c>
      <c r="D393" s="55" t="s">
        <v>729</v>
      </c>
      <c r="E393" s="56" t="s">
        <v>730</v>
      </c>
      <c r="F393" s="43">
        <v>24.284</v>
      </c>
      <c r="G393" s="57"/>
      <c r="H393" s="57"/>
      <c r="I393" s="58"/>
      <c r="J393" s="59">
        <f t="shared" si="111"/>
        <v>742.8502282779862</v>
      </c>
      <c r="K393" s="60">
        <v>0.9336178972540682</v>
      </c>
      <c r="L393" s="75">
        <v>1.026766864985323</v>
      </c>
      <c r="M393" s="63">
        <f t="shared" si="112"/>
        <v>17067.3</v>
      </c>
      <c r="N393" s="63">
        <f t="shared" si="113"/>
        <v>15480</v>
      </c>
      <c r="O393" s="62"/>
      <c r="P393" s="76"/>
      <c r="Q393" s="77"/>
      <c r="R393" s="76"/>
      <c r="S393" s="77"/>
      <c r="T393" s="64"/>
      <c r="U393" s="45">
        <f t="shared" si="114"/>
        <v>15480</v>
      </c>
      <c r="V393" s="65"/>
    </row>
    <row r="394" spans="1:22" ht="12.75" hidden="1">
      <c r="A394" s="52">
        <v>11</v>
      </c>
      <c r="B394" s="53">
        <v>23</v>
      </c>
      <c r="C394" s="54" t="s">
        <v>52</v>
      </c>
      <c r="D394" s="55" t="s">
        <v>731</v>
      </c>
      <c r="E394" s="56" t="s">
        <v>732</v>
      </c>
      <c r="F394" s="43">
        <v>12.39</v>
      </c>
      <c r="G394" s="57"/>
      <c r="H394" s="57"/>
      <c r="I394" s="58"/>
      <c r="J394" s="59">
        <f t="shared" si="111"/>
        <v>742.8502282779862</v>
      </c>
      <c r="K394" s="60">
        <v>0.9336178972540682</v>
      </c>
      <c r="L394" s="75">
        <v>1.0844986775261274</v>
      </c>
      <c r="M394" s="63">
        <f t="shared" si="112"/>
        <v>8956</v>
      </c>
      <c r="N394" s="63">
        <f t="shared" si="113"/>
        <v>8123.1</v>
      </c>
      <c r="O394" s="62"/>
      <c r="P394" s="76"/>
      <c r="Q394" s="77"/>
      <c r="R394" s="76"/>
      <c r="S394" s="77"/>
      <c r="T394" s="64">
        <f>-ROUND(N394*0.32,1)</f>
        <v>-2599.4</v>
      </c>
      <c r="U394" s="45">
        <f t="shared" si="114"/>
        <v>5523.700000000001</v>
      </c>
      <c r="V394" s="65"/>
    </row>
    <row r="395" spans="1:22" ht="25.5" hidden="1">
      <c r="A395" s="52">
        <v>11</v>
      </c>
      <c r="B395" s="53">
        <v>24</v>
      </c>
      <c r="C395" s="54" t="s">
        <v>52</v>
      </c>
      <c r="D395" s="55" t="s">
        <v>733</v>
      </c>
      <c r="E395" s="56" t="s">
        <v>734</v>
      </c>
      <c r="F395" s="43">
        <v>22.702</v>
      </c>
      <c r="G395" s="57"/>
      <c r="H395" s="57"/>
      <c r="I395" s="58"/>
      <c r="J395" s="59">
        <f t="shared" si="111"/>
        <v>742.8502282779862</v>
      </c>
      <c r="K395" s="60">
        <v>0.9336178972540682</v>
      </c>
      <c r="L395" s="75">
        <v>1.0566774989403522</v>
      </c>
      <c r="M395" s="63">
        <f t="shared" si="112"/>
        <v>16190.9</v>
      </c>
      <c r="N395" s="63">
        <f t="shared" si="113"/>
        <v>14685.1</v>
      </c>
      <c r="O395" s="62"/>
      <c r="P395" s="76"/>
      <c r="Q395" s="77"/>
      <c r="R395" s="76"/>
      <c r="S395" s="77"/>
      <c r="T395" s="64"/>
      <c r="U395" s="45">
        <f t="shared" si="114"/>
        <v>14685.1</v>
      </c>
      <c r="V395" s="65"/>
    </row>
    <row r="396" spans="1:22" ht="12.75" hidden="1">
      <c r="A396" s="52">
        <v>11</v>
      </c>
      <c r="B396" s="53">
        <v>25</v>
      </c>
      <c r="C396" s="54" t="s">
        <v>52</v>
      </c>
      <c r="D396" s="55" t="s">
        <v>735</v>
      </c>
      <c r="E396" s="56" t="s">
        <v>736</v>
      </c>
      <c r="F396" s="43">
        <v>13.075</v>
      </c>
      <c r="G396" s="57"/>
      <c r="H396" s="57"/>
      <c r="I396" s="58"/>
      <c r="J396" s="59">
        <f t="shared" si="111"/>
        <v>742.8502282779862</v>
      </c>
      <c r="K396" s="60">
        <v>0.9336178972540682</v>
      </c>
      <c r="L396" s="75">
        <v>1.0286915595118946</v>
      </c>
      <c r="M396" s="63">
        <f t="shared" si="112"/>
        <v>9198.1</v>
      </c>
      <c r="N396" s="63">
        <f t="shared" si="113"/>
        <v>8342.7</v>
      </c>
      <c r="O396" s="62"/>
      <c r="P396" s="76"/>
      <c r="Q396" s="77"/>
      <c r="R396" s="76"/>
      <c r="S396" s="77"/>
      <c r="T396" s="64"/>
      <c r="U396" s="45">
        <f t="shared" si="114"/>
        <v>8342.7</v>
      </c>
      <c r="V396" s="65"/>
    </row>
    <row r="397" spans="1:22" ht="25.5" hidden="1">
      <c r="A397" s="38">
        <v>11</v>
      </c>
      <c r="B397" s="39" t="s">
        <v>26</v>
      </c>
      <c r="C397" s="40" t="s">
        <v>111</v>
      </c>
      <c r="D397" s="55"/>
      <c r="E397" s="79" t="s">
        <v>112</v>
      </c>
      <c r="F397" s="43">
        <f>SUM(F398:F400)</f>
        <v>45.111000000000004</v>
      </c>
      <c r="G397" s="83">
        <f>SUM(G398:G400)</f>
        <v>0</v>
      </c>
      <c r="H397" s="83">
        <f>SUM(H398:H400)</f>
        <v>0</v>
      </c>
      <c r="I397" s="122"/>
      <c r="J397" s="123"/>
      <c r="K397" s="122"/>
      <c r="L397" s="84">
        <v>0</v>
      </c>
      <c r="M397" s="163">
        <f aca="true" t="shared" si="115" ref="M397:U397">SUM(M398:M400)</f>
        <v>31625.7</v>
      </c>
      <c r="N397" s="163">
        <f t="shared" si="115"/>
        <v>28684.5</v>
      </c>
      <c r="O397" s="163">
        <f t="shared" si="115"/>
        <v>0</v>
      </c>
      <c r="P397" s="163">
        <f t="shared" si="115"/>
        <v>0</v>
      </c>
      <c r="Q397" s="163">
        <f t="shared" si="115"/>
        <v>0</v>
      </c>
      <c r="R397" s="163">
        <f t="shared" si="115"/>
        <v>0</v>
      </c>
      <c r="S397" s="163">
        <f t="shared" si="115"/>
        <v>0</v>
      </c>
      <c r="T397" s="163">
        <f t="shared" si="115"/>
        <v>0</v>
      </c>
      <c r="U397" s="163">
        <f t="shared" si="115"/>
        <v>28684.5</v>
      </c>
      <c r="V397" s="125"/>
    </row>
    <row r="398" spans="1:22" ht="25.5" hidden="1">
      <c r="A398" s="52">
        <v>11</v>
      </c>
      <c r="B398" s="53">
        <v>26</v>
      </c>
      <c r="C398" s="54" t="s">
        <v>113</v>
      </c>
      <c r="D398" s="55" t="s">
        <v>737</v>
      </c>
      <c r="E398" s="90" t="s">
        <v>738</v>
      </c>
      <c r="F398" s="43">
        <v>11.836</v>
      </c>
      <c r="G398" s="57"/>
      <c r="H398" s="57"/>
      <c r="I398" s="58"/>
      <c r="J398" s="59">
        <f>+($F$7-$O$952-$Q$952-$P$952-$R$952-$S$952)/($F$952-$G$952*1-$H$952*0.5)*0.646*1.0268514</f>
        <v>742.8502282779862</v>
      </c>
      <c r="K398" s="60">
        <v>0.9336178972540682</v>
      </c>
      <c r="L398" s="75">
        <v>1.0103044454140642</v>
      </c>
      <c r="M398" s="63">
        <f>ROUND(J398*(F398-G398-H398*I398)*K398*(0.5+0.5*L398),1)</f>
        <v>8251</v>
      </c>
      <c r="N398" s="63">
        <f>ROUND(M398*0.907,1)</f>
        <v>7483.7</v>
      </c>
      <c r="O398" s="62"/>
      <c r="P398" s="76"/>
      <c r="Q398" s="77"/>
      <c r="R398" s="76"/>
      <c r="S398" s="77"/>
      <c r="T398" s="64"/>
      <c r="U398" s="45">
        <f>+N398+O398+T398+R398+S398+Q398</f>
        <v>7483.7</v>
      </c>
      <c r="V398" s="65"/>
    </row>
    <row r="399" spans="1:22" ht="25.5" hidden="1">
      <c r="A399" s="52">
        <v>11</v>
      </c>
      <c r="B399" s="53">
        <v>27</v>
      </c>
      <c r="C399" s="54" t="s">
        <v>113</v>
      </c>
      <c r="D399" s="164" t="s">
        <v>739</v>
      </c>
      <c r="E399" s="56" t="s">
        <v>740</v>
      </c>
      <c r="F399" s="43">
        <v>13.791</v>
      </c>
      <c r="G399" s="57"/>
      <c r="H399" s="57"/>
      <c r="I399" s="58"/>
      <c r="J399" s="59">
        <f>+($F$7-$O$952-$Q$952-$P$952-$R$952-$S$952)/($F$952-$G$952*1-$H$952*0.5)*0.646*1.0268514</f>
        <v>742.8502282779862</v>
      </c>
      <c r="K399" s="60">
        <v>0.9336178972540682</v>
      </c>
      <c r="L399" s="75">
        <v>1.0324707250533727</v>
      </c>
      <c r="M399" s="63">
        <f>ROUND(J399*(F399-G399-H399*I399)*K399*(0.5+0.5*L399),1)</f>
        <v>9719.9</v>
      </c>
      <c r="N399" s="63">
        <f>ROUND(M399*0.907,1)</f>
        <v>8815.9</v>
      </c>
      <c r="O399" s="62"/>
      <c r="P399" s="76"/>
      <c r="Q399" s="77"/>
      <c r="R399" s="76"/>
      <c r="S399" s="77"/>
      <c r="T399" s="64"/>
      <c r="U399" s="45">
        <f>+N399+O399+T399+R399+S399+Q399</f>
        <v>8815.9</v>
      </c>
      <c r="V399" s="65"/>
    </row>
    <row r="400" spans="1:22" s="121" customFormat="1" ht="25.5" hidden="1">
      <c r="A400" s="104">
        <v>11</v>
      </c>
      <c r="B400" s="105">
        <v>28</v>
      </c>
      <c r="C400" s="106" t="s">
        <v>113</v>
      </c>
      <c r="D400" s="119" t="s">
        <v>741</v>
      </c>
      <c r="E400" s="108" t="s">
        <v>742</v>
      </c>
      <c r="F400" s="109">
        <v>19.484</v>
      </c>
      <c r="G400" s="158"/>
      <c r="H400" s="158"/>
      <c r="I400" s="159"/>
      <c r="J400" s="112">
        <f>+($F$7-$O$952-$Q$952-$P$952-$R$952-$S$952)/($F$952-$G$952*1-$H$952*0.5)*0.646*1.0268514</f>
        <v>742.8502282779862</v>
      </c>
      <c r="K400" s="113">
        <v>0.9336178972540682</v>
      </c>
      <c r="L400" s="75">
        <v>1.0210000044025374</v>
      </c>
      <c r="M400" s="63">
        <f>ROUND(J400*(F400-G400-H400*I400)*K400*(0.5+0.5*L400),1)</f>
        <v>13654.8</v>
      </c>
      <c r="N400" s="63">
        <f>ROUND(M400*0.907,1)</f>
        <v>12384.9</v>
      </c>
      <c r="O400" s="62"/>
      <c r="P400" s="160"/>
      <c r="Q400" s="77"/>
      <c r="R400" s="76"/>
      <c r="S400" s="77"/>
      <c r="T400" s="115"/>
      <c r="U400" s="116">
        <f>+N400+O400+T400+R400+S400+Q400</f>
        <v>12384.9</v>
      </c>
      <c r="V400" s="117"/>
    </row>
    <row r="401" spans="1:22" s="82" customFormat="1" ht="25.5" hidden="1">
      <c r="A401" s="166">
        <v>12</v>
      </c>
      <c r="B401" s="167" t="s">
        <v>26</v>
      </c>
      <c r="C401" s="40" t="s">
        <v>27</v>
      </c>
      <c r="D401" s="55"/>
      <c r="E401" s="168" t="s">
        <v>743</v>
      </c>
      <c r="F401" s="43">
        <f>F402+F403+F418+F436</f>
        <v>711.645</v>
      </c>
      <c r="G401" s="44">
        <f>+G402+G403+G418+G436</f>
        <v>0</v>
      </c>
      <c r="H401" s="44">
        <f>+H402+H403+H418+H436</f>
        <v>0</v>
      </c>
      <c r="I401" s="45"/>
      <c r="J401" s="46"/>
      <c r="K401" s="47"/>
      <c r="L401" s="48">
        <v>1.0407381581461812</v>
      </c>
      <c r="M401" s="49">
        <f aca="true" t="shared" si="116" ref="M401:U401">+M402+M403+M418+M436</f>
        <v>806207</v>
      </c>
      <c r="N401" s="49">
        <f t="shared" si="116"/>
        <v>806207</v>
      </c>
      <c r="O401" s="49">
        <f t="shared" si="116"/>
        <v>0</v>
      </c>
      <c r="P401" s="49">
        <f t="shared" si="116"/>
        <v>79.4</v>
      </c>
      <c r="Q401" s="49">
        <f t="shared" si="116"/>
        <v>10691.8</v>
      </c>
      <c r="R401" s="49">
        <f t="shared" si="116"/>
        <v>5952.8</v>
      </c>
      <c r="S401" s="49">
        <f t="shared" si="116"/>
        <v>228.5</v>
      </c>
      <c r="T401" s="49">
        <f t="shared" si="116"/>
        <v>0</v>
      </c>
      <c r="U401" s="49">
        <f t="shared" si="116"/>
        <v>823159.5</v>
      </c>
      <c r="V401" s="51"/>
    </row>
    <row r="402" spans="1:22" s="82" customFormat="1" ht="13.5" hidden="1">
      <c r="A402" s="52">
        <v>12</v>
      </c>
      <c r="B402" s="53"/>
      <c r="C402" s="54" t="s">
        <v>29</v>
      </c>
      <c r="D402" s="55" t="s">
        <v>744</v>
      </c>
      <c r="E402" s="56" t="s">
        <v>31</v>
      </c>
      <c r="F402" s="43">
        <v>0</v>
      </c>
      <c r="G402" s="128"/>
      <c r="H402" s="128"/>
      <c r="I402" s="58"/>
      <c r="J402" s="59">
        <f>+($F$7-$O$952-$Q$952-$P$952-R$952-$S$952)/$F$952*0.354*0.951</f>
        <v>376.76602120660414</v>
      </c>
      <c r="K402" s="60">
        <v>0</v>
      </c>
      <c r="L402" s="48">
        <v>1.0407381581461812</v>
      </c>
      <c r="M402" s="49">
        <f>ROUND(J402*(F403+F418+F436)*(0.5+0.5*L402),1)</f>
        <v>273585.1</v>
      </c>
      <c r="N402" s="49">
        <f>M402+ROUND(SUM(M404:M417)*0.117+SUM(M419:M435)*0.093+SUM(M437:M438)*0.093,1)-0.1</f>
        <v>328755.7</v>
      </c>
      <c r="O402" s="61"/>
      <c r="P402" s="62">
        <v>79.4</v>
      </c>
      <c r="Q402" s="63">
        <v>10691.8</v>
      </c>
      <c r="R402" s="62">
        <v>5952.8</v>
      </c>
      <c r="S402" s="63">
        <v>228.5</v>
      </c>
      <c r="T402" s="64"/>
      <c r="U402" s="45">
        <f>N402+O402+P402+Q402+R402+S402+T402</f>
        <v>345708.2</v>
      </c>
      <c r="V402" s="65"/>
    </row>
    <row r="403" spans="1:22" s="129" customFormat="1" ht="13.5" hidden="1">
      <c r="A403" s="38">
        <v>12</v>
      </c>
      <c r="B403" s="39" t="s">
        <v>26</v>
      </c>
      <c r="C403" s="40" t="s">
        <v>33</v>
      </c>
      <c r="D403" s="55"/>
      <c r="E403" s="79" t="s">
        <v>745</v>
      </c>
      <c r="F403" s="43">
        <f>SUM(F404:F417)</f>
        <v>292.647</v>
      </c>
      <c r="G403" s="67">
        <f>SUM(G404:G417)</f>
        <v>0</v>
      </c>
      <c r="H403" s="68">
        <f>SUM(H404:H417)</f>
        <v>0</v>
      </c>
      <c r="I403" s="69"/>
      <c r="J403" s="59"/>
      <c r="K403" s="70"/>
      <c r="L403" s="71">
        <v>1.028463396470293</v>
      </c>
      <c r="M403" s="72">
        <f aca="true" t="shared" si="117" ref="M403:U403">SUM(M404:M417)</f>
        <v>234867.90000000002</v>
      </c>
      <c r="N403" s="72">
        <f t="shared" si="117"/>
        <v>207388.4</v>
      </c>
      <c r="O403" s="72">
        <f t="shared" si="117"/>
        <v>0</v>
      </c>
      <c r="P403" s="72">
        <f t="shared" si="117"/>
        <v>0</v>
      </c>
      <c r="Q403" s="72">
        <f t="shared" si="117"/>
        <v>0</v>
      </c>
      <c r="R403" s="72">
        <f t="shared" si="117"/>
        <v>0</v>
      </c>
      <c r="S403" s="72">
        <f t="shared" si="117"/>
        <v>0</v>
      </c>
      <c r="T403" s="72">
        <f t="shared" si="117"/>
        <v>0</v>
      </c>
      <c r="U403" s="72">
        <f t="shared" si="117"/>
        <v>207388.4</v>
      </c>
      <c r="V403" s="73"/>
    </row>
    <row r="404" spans="1:22" s="91" customFormat="1" ht="12.75" hidden="1">
      <c r="A404" s="52">
        <v>12</v>
      </c>
      <c r="B404" s="53" t="s">
        <v>35</v>
      </c>
      <c r="C404" s="54" t="s">
        <v>36</v>
      </c>
      <c r="D404" s="55" t="s">
        <v>746</v>
      </c>
      <c r="E404" s="74" t="s">
        <v>747</v>
      </c>
      <c r="F404" s="43">
        <v>0</v>
      </c>
      <c r="G404" s="162"/>
      <c r="H404" s="162"/>
      <c r="I404" s="58"/>
      <c r="J404" s="59">
        <f aca="true" t="shared" si="118" ref="J404:J417">+($F$7-$O$952-$Q$952-$P$952-$R$952-$S$952)/($F$952-$G$952*1-$H$952*0.5)*0.646*1.0268514</f>
        <v>742.8502282779862</v>
      </c>
      <c r="K404" s="60">
        <v>1.065228053001168</v>
      </c>
      <c r="L404" s="75">
        <v>0</v>
      </c>
      <c r="M404" s="63">
        <f aca="true" t="shared" si="119" ref="M404:M417">ROUND(J404*(F404-G404-H404*I404)*K404*(0.5+0.5*L404),1)</f>
        <v>0</v>
      </c>
      <c r="N404" s="63">
        <f aca="true" t="shared" si="120" ref="N404:N417">ROUND(M404*0.883,1)</f>
        <v>0</v>
      </c>
      <c r="O404" s="62"/>
      <c r="P404" s="76"/>
      <c r="Q404" s="77"/>
      <c r="R404" s="76"/>
      <c r="S404" s="77"/>
      <c r="T404" s="64"/>
      <c r="U404" s="45">
        <f aca="true" t="shared" si="121" ref="U404:U417">+N404+O404+T404+R404+S404+Q404</f>
        <v>0</v>
      </c>
      <c r="V404" s="65"/>
    </row>
    <row r="405" spans="1:22" s="155" customFormat="1" ht="12.75" hidden="1">
      <c r="A405" s="52">
        <v>12</v>
      </c>
      <c r="B405" s="53" t="s">
        <v>32</v>
      </c>
      <c r="C405" s="54" t="s">
        <v>36</v>
      </c>
      <c r="D405" s="55" t="s">
        <v>748</v>
      </c>
      <c r="E405" s="78" t="s">
        <v>749</v>
      </c>
      <c r="F405" s="43">
        <v>0</v>
      </c>
      <c r="G405" s="57"/>
      <c r="H405" s="57"/>
      <c r="I405" s="58"/>
      <c r="J405" s="59">
        <f t="shared" si="118"/>
        <v>742.8502282779862</v>
      </c>
      <c r="K405" s="60">
        <v>1.065228053001168</v>
      </c>
      <c r="L405" s="75">
        <v>0</v>
      </c>
      <c r="M405" s="63">
        <f t="shared" si="119"/>
        <v>0</v>
      </c>
      <c r="N405" s="63">
        <f t="shared" si="120"/>
        <v>0</v>
      </c>
      <c r="O405" s="62"/>
      <c r="P405" s="76"/>
      <c r="Q405" s="77"/>
      <c r="R405" s="76"/>
      <c r="S405" s="77"/>
      <c r="T405" s="64"/>
      <c r="U405" s="45">
        <f t="shared" si="121"/>
        <v>0</v>
      </c>
      <c r="V405" s="65"/>
    </row>
    <row r="406" spans="1:22" ht="12.75" hidden="1">
      <c r="A406" s="52">
        <v>12</v>
      </c>
      <c r="B406" s="53" t="s">
        <v>118</v>
      </c>
      <c r="C406" s="54" t="s">
        <v>36</v>
      </c>
      <c r="D406" s="55" t="s">
        <v>750</v>
      </c>
      <c r="E406" s="78" t="s">
        <v>751</v>
      </c>
      <c r="F406" s="43">
        <v>0</v>
      </c>
      <c r="G406" s="57"/>
      <c r="H406" s="57"/>
      <c r="I406" s="58"/>
      <c r="J406" s="59">
        <f t="shared" si="118"/>
        <v>742.8502282779862</v>
      </c>
      <c r="K406" s="60">
        <v>1.065228053001168</v>
      </c>
      <c r="L406" s="75">
        <v>0</v>
      </c>
      <c r="M406" s="63">
        <f t="shared" si="119"/>
        <v>0</v>
      </c>
      <c r="N406" s="63">
        <f t="shared" si="120"/>
        <v>0</v>
      </c>
      <c r="O406" s="62"/>
      <c r="P406" s="76"/>
      <c r="Q406" s="77"/>
      <c r="R406" s="76"/>
      <c r="S406" s="77"/>
      <c r="T406" s="64"/>
      <c r="U406" s="45">
        <f t="shared" si="121"/>
        <v>0</v>
      </c>
      <c r="V406" s="65"/>
    </row>
    <row r="407" spans="1:22" ht="12.75" hidden="1">
      <c r="A407" s="52">
        <v>12</v>
      </c>
      <c r="B407" s="53" t="s">
        <v>127</v>
      </c>
      <c r="C407" s="54" t="s">
        <v>36</v>
      </c>
      <c r="D407" s="55" t="s">
        <v>752</v>
      </c>
      <c r="E407" s="78" t="s">
        <v>753</v>
      </c>
      <c r="F407" s="43">
        <v>0</v>
      </c>
      <c r="G407" s="57"/>
      <c r="H407" s="57"/>
      <c r="I407" s="58"/>
      <c r="J407" s="59">
        <f t="shared" si="118"/>
        <v>742.8502282779862</v>
      </c>
      <c r="K407" s="60">
        <v>1.065228053001168</v>
      </c>
      <c r="L407" s="75">
        <v>0</v>
      </c>
      <c r="M407" s="63">
        <f t="shared" si="119"/>
        <v>0</v>
      </c>
      <c r="N407" s="63">
        <f t="shared" si="120"/>
        <v>0</v>
      </c>
      <c r="O407" s="62"/>
      <c r="P407" s="76"/>
      <c r="Q407" s="77"/>
      <c r="R407" s="76"/>
      <c r="S407" s="77"/>
      <c r="T407" s="64"/>
      <c r="U407" s="45">
        <f t="shared" si="121"/>
        <v>0</v>
      </c>
      <c r="V407" s="65"/>
    </row>
    <row r="408" spans="1:22" ht="12.75" hidden="1">
      <c r="A408" s="52">
        <v>12</v>
      </c>
      <c r="B408" s="53" t="s">
        <v>51</v>
      </c>
      <c r="C408" s="54" t="s">
        <v>36</v>
      </c>
      <c r="D408" s="55" t="s">
        <v>754</v>
      </c>
      <c r="E408" s="78" t="s">
        <v>755</v>
      </c>
      <c r="F408" s="43">
        <v>0</v>
      </c>
      <c r="G408" s="57"/>
      <c r="H408" s="57"/>
      <c r="I408" s="58"/>
      <c r="J408" s="59">
        <f t="shared" si="118"/>
        <v>742.8502282779862</v>
      </c>
      <c r="K408" s="60">
        <v>1.065228053001168</v>
      </c>
      <c r="L408" s="75">
        <v>0</v>
      </c>
      <c r="M408" s="63">
        <f t="shared" si="119"/>
        <v>0</v>
      </c>
      <c r="N408" s="63">
        <f t="shared" si="120"/>
        <v>0</v>
      </c>
      <c r="O408" s="62"/>
      <c r="P408" s="76"/>
      <c r="Q408" s="77"/>
      <c r="R408" s="76"/>
      <c r="S408" s="77"/>
      <c r="T408" s="64"/>
      <c r="U408" s="45">
        <f t="shared" si="121"/>
        <v>0</v>
      </c>
      <c r="V408" s="65"/>
    </row>
    <row r="409" spans="1:22" ht="25.5" hidden="1">
      <c r="A409" s="52">
        <v>12</v>
      </c>
      <c r="B409" s="53" t="s">
        <v>55</v>
      </c>
      <c r="C409" s="54" t="s">
        <v>36</v>
      </c>
      <c r="D409" s="55" t="s">
        <v>756</v>
      </c>
      <c r="E409" s="78" t="s">
        <v>757</v>
      </c>
      <c r="F409" s="43">
        <v>0</v>
      </c>
      <c r="G409" s="57"/>
      <c r="H409" s="57"/>
      <c r="I409" s="58"/>
      <c r="J409" s="59">
        <f t="shared" si="118"/>
        <v>742.8502282779862</v>
      </c>
      <c r="K409" s="60">
        <v>1.065228053001168</v>
      </c>
      <c r="L409" s="75">
        <v>0</v>
      </c>
      <c r="M409" s="63">
        <f t="shared" si="119"/>
        <v>0</v>
      </c>
      <c r="N409" s="63">
        <f t="shared" si="120"/>
        <v>0</v>
      </c>
      <c r="O409" s="62"/>
      <c r="P409" s="76"/>
      <c r="Q409" s="77"/>
      <c r="R409" s="76"/>
      <c r="S409" s="77"/>
      <c r="T409" s="64"/>
      <c r="U409" s="45">
        <f t="shared" si="121"/>
        <v>0</v>
      </c>
      <c r="V409" s="65"/>
    </row>
    <row r="410" spans="1:22" ht="12.75" hidden="1">
      <c r="A410" s="52">
        <v>12</v>
      </c>
      <c r="B410" s="53" t="s">
        <v>58</v>
      </c>
      <c r="C410" s="54" t="s">
        <v>36</v>
      </c>
      <c r="D410" s="55" t="s">
        <v>758</v>
      </c>
      <c r="E410" s="78" t="s">
        <v>759</v>
      </c>
      <c r="F410" s="43">
        <v>0</v>
      </c>
      <c r="G410" s="57"/>
      <c r="H410" s="57"/>
      <c r="I410" s="58"/>
      <c r="J410" s="59">
        <f t="shared" si="118"/>
        <v>742.8502282779862</v>
      </c>
      <c r="K410" s="60">
        <v>1.065228053001168</v>
      </c>
      <c r="L410" s="75">
        <v>0</v>
      </c>
      <c r="M410" s="63">
        <f t="shared" si="119"/>
        <v>0</v>
      </c>
      <c r="N410" s="63">
        <f t="shared" si="120"/>
        <v>0</v>
      </c>
      <c r="O410" s="62"/>
      <c r="P410" s="76"/>
      <c r="Q410" s="77"/>
      <c r="R410" s="76"/>
      <c r="S410" s="77"/>
      <c r="T410" s="64"/>
      <c r="U410" s="45">
        <f t="shared" si="121"/>
        <v>0</v>
      </c>
      <c r="V410" s="65"/>
    </row>
    <row r="411" spans="1:22" ht="12.75" hidden="1">
      <c r="A411" s="52">
        <v>12</v>
      </c>
      <c r="B411" s="53" t="s">
        <v>61</v>
      </c>
      <c r="C411" s="54" t="s">
        <v>36</v>
      </c>
      <c r="D411" s="55" t="s">
        <v>760</v>
      </c>
      <c r="E411" s="78" t="s">
        <v>761</v>
      </c>
      <c r="F411" s="43">
        <v>116.001</v>
      </c>
      <c r="G411" s="57"/>
      <c r="H411" s="57"/>
      <c r="I411" s="58"/>
      <c r="J411" s="59">
        <f t="shared" si="118"/>
        <v>742.8502282779862</v>
      </c>
      <c r="K411" s="60">
        <v>1.065228053001168</v>
      </c>
      <c r="L411" s="75">
        <v>1.022207714832594</v>
      </c>
      <c r="M411" s="63">
        <f t="shared" si="119"/>
        <v>92811.4</v>
      </c>
      <c r="N411" s="63">
        <f t="shared" si="120"/>
        <v>81952.5</v>
      </c>
      <c r="O411" s="62"/>
      <c r="P411" s="76"/>
      <c r="Q411" s="77"/>
      <c r="R411" s="76"/>
      <c r="S411" s="77"/>
      <c r="T411" s="64"/>
      <c r="U411" s="45">
        <f t="shared" si="121"/>
        <v>81952.5</v>
      </c>
      <c r="V411" s="65"/>
    </row>
    <row r="412" spans="1:22" ht="12.75" hidden="1">
      <c r="A412" s="52">
        <v>12</v>
      </c>
      <c r="B412" s="53" t="s">
        <v>64</v>
      </c>
      <c r="C412" s="54" t="s">
        <v>36</v>
      </c>
      <c r="D412" s="55" t="s">
        <v>762</v>
      </c>
      <c r="E412" s="78" t="s">
        <v>763</v>
      </c>
      <c r="F412" s="43">
        <v>0</v>
      </c>
      <c r="G412" s="57"/>
      <c r="H412" s="57"/>
      <c r="I412" s="58"/>
      <c r="J412" s="59">
        <f t="shared" si="118"/>
        <v>742.8502282779862</v>
      </c>
      <c r="K412" s="60">
        <v>1.065228053001168</v>
      </c>
      <c r="L412" s="75">
        <v>0</v>
      </c>
      <c r="M412" s="63">
        <f t="shared" si="119"/>
        <v>0</v>
      </c>
      <c r="N412" s="63">
        <f t="shared" si="120"/>
        <v>0</v>
      </c>
      <c r="O412" s="62"/>
      <c r="P412" s="76"/>
      <c r="Q412" s="77"/>
      <c r="R412" s="76"/>
      <c r="S412" s="77"/>
      <c r="T412" s="64"/>
      <c r="U412" s="45">
        <f t="shared" si="121"/>
        <v>0</v>
      </c>
      <c r="V412" s="65"/>
    </row>
    <row r="413" spans="1:22" ht="12.75" hidden="1">
      <c r="A413" s="52">
        <v>12</v>
      </c>
      <c r="B413" s="53">
        <v>10</v>
      </c>
      <c r="C413" s="54" t="s">
        <v>36</v>
      </c>
      <c r="D413" s="55" t="s">
        <v>764</v>
      </c>
      <c r="E413" s="78" t="s">
        <v>765</v>
      </c>
      <c r="F413" s="43">
        <v>0</v>
      </c>
      <c r="G413" s="57"/>
      <c r="H413" s="57"/>
      <c r="I413" s="58"/>
      <c r="J413" s="59">
        <f t="shared" si="118"/>
        <v>742.8502282779862</v>
      </c>
      <c r="K413" s="60">
        <v>1.065228053001168</v>
      </c>
      <c r="L413" s="75">
        <v>0</v>
      </c>
      <c r="M413" s="63">
        <f t="shared" si="119"/>
        <v>0</v>
      </c>
      <c r="N413" s="63">
        <f t="shared" si="120"/>
        <v>0</v>
      </c>
      <c r="O413" s="62"/>
      <c r="P413" s="76"/>
      <c r="Q413" s="77"/>
      <c r="R413" s="76"/>
      <c r="S413" s="77"/>
      <c r="T413" s="64"/>
      <c r="U413" s="45">
        <f t="shared" si="121"/>
        <v>0</v>
      </c>
      <c r="V413" s="65"/>
    </row>
    <row r="414" spans="1:22" ht="12.75" hidden="1">
      <c r="A414" s="52">
        <v>12</v>
      </c>
      <c r="B414" s="53">
        <v>11</v>
      </c>
      <c r="C414" s="54" t="s">
        <v>36</v>
      </c>
      <c r="D414" s="55" t="s">
        <v>766</v>
      </c>
      <c r="E414" s="78" t="s">
        <v>767</v>
      </c>
      <c r="F414" s="43">
        <v>59.141</v>
      </c>
      <c r="G414" s="57"/>
      <c r="H414" s="57"/>
      <c r="I414" s="58"/>
      <c r="J414" s="59">
        <f t="shared" si="118"/>
        <v>742.8502282779862</v>
      </c>
      <c r="K414" s="60">
        <v>1.065228053001168</v>
      </c>
      <c r="L414" s="75">
        <v>1.0206294059036185</v>
      </c>
      <c r="M414" s="63">
        <f t="shared" si="119"/>
        <v>47281.3</v>
      </c>
      <c r="N414" s="63">
        <f t="shared" si="120"/>
        <v>41749.4</v>
      </c>
      <c r="O414" s="62"/>
      <c r="P414" s="76"/>
      <c r="Q414" s="77"/>
      <c r="R414" s="76"/>
      <c r="S414" s="77"/>
      <c r="T414" s="64"/>
      <c r="U414" s="45">
        <f t="shared" si="121"/>
        <v>41749.4</v>
      </c>
      <c r="V414" s="65"/>
    </row>
    <row r="415" spans="1:22" s="129" customFormat="1" ht="25.5" hidden="1">
      <c r="A415" s="52">
        <v>12</v>
      </c>
      <c r="B415" s="53">
        <v>12</v>
      </c>
      <c r="C415" s="54" t="s">
        <v>36</v>
      </c>
      <c r="D415" s="55" t="s">
        <v>768</v>
      </c>
      <c r="E415" s="78" t="s">
        <v>769</v>
      </c>
      <c r="F415" s="43">
        <v>0</v>
      </c>
      <c r="G415" s="57"/>
      <c r="H415" s="57"/>
      <c r="I415" s="58"/>
      <c r="J415" s="59">
        <f t="shared" si="118"/>
        <v>742.8502282779862</v>
      </c>
      <c r="K415" s="60">
        <v>1.065228053001168</v>
      </c>
      <c r="L415" s="75">
        <v>0</v>
      </c>
      <c r="M415" s="63">
        <f t="shared" si="119"/>
        <v>0</v>
      </c>
      <c r="N415" s="63">
        <f t="shared" si="120"/>
        <v>0</v>
      </c>
      <c r="O415" s="62"/>
      <c r="P415" s="76"/>
      <c r="Q415" s="77"/>
      <c r="R415" s="76"/>
      <c r="S415" s="77"/>
      <c r="T415" s="64"/>
      <c r="U415" s="45">
        <f t="shared" si="121"/>
        <v>0</v>
      </c>
      <c r="V415" s="65"/>
    </row>
    <row r="416" spans="1:22" ht="12.75" hidden="1">
      <c r="A416" s="52">
        <v>12</v>
      </c>
      <c r="B416" s="53">
        <v>13</v>
      </c>
      <c r="C416" s="54" t="s">
        <v>36</v>
      </c>
      <c r="D416" s="55" t="s">
        <v>770</v>
      </c>
      <c r="E416" s="78" t="s">
        <v>771</v>
      </c>
      <c r="F416" s="43">
        <v>117.505</v>
      </c>
      <c r="G416" s="57"/>
      <c r="H416" s="57"/>
      <c r="I416" s="58"/>
      <c r="J416" s="59">
        <f t="shared" si="118"/>
        <v>742.8502282779862</v>
      </c>
      <c r="K416" s="60">
        <v>1.065228053001168</v>
      </c>
      <c r="L416" s="75">
        <v>1.0385644743312068</v>
      </c>
      <c r="M416" s="63">
        <f t="shared" si="119"/>
        <v>94775.2</v>
      </c>
      <c r="N416" s="63">
        <f t="shared" si="120"/>
        <v>83686.5</v>
      </c>
      <c r="O416" s="62"/>
      <c r="P416" s="76"/>
      <c r="Q416" s="77"/>
      <c r="R416" s="76"/>
      <c r="S416" s="77"/>
      <c r="T416" s="64"/>
      <c r="U416" s="45">
        <f t="shared" si="121"/>
        <v>83686.5</v>
      </c>
      <c r="V416" s="65"/>
    </row>
    <row r="417" spans="1:22" ht="12.75" hidden="1">
      <c r="A417" s="52">
        <v>12</v>
      </c>
      <c r="B417" s="53">
        <v>14</v>
      </c>
      <c r="C417" s="54" t="s">
        <v>36</v>
      </c>
      <c r="D417" s="55" t="s">
        <v>772</v>
      </c>
      <c r="E417" s="78" t="s">
        <v>773</v>
      </c>
      <c r="F417" s="43">
        <v>0</v>
      </c>
      <c r="G417" s="57"/>
      <c r="H417" s="57"/>
      <c r="I417" s="58"/>
      <c r="J417" s="59">
        <f t="shared" si="118"/>
        <v>742.8502282779862</v>
      </c>
      <c r="K417" s="60">
        <v>1.065228053001168</v>
      </c>
      <c r="L417" s="75">
        <v>0</v>
      </c>
      <c r="M417" s="63">
        <f t="shared" si="119"/>
        <v>0</v>
      </c>
      <c r="N417" s="63">
        <f t="shared" si="120"/>
        <v>0</v>
      </c>
      <c r="O417" s="62"/>
      <c r="P417" s="76"/>
      <c r="Q417" s="77"/>
      <c r="R417" s="76"/>
      <c r="S417" s="77"/>
      <c r="T417" s="64"/>
      <c r="U417" s="45">
        <f t="shared" si="121"/>
        <v>0</v>
      </c>
      <c r="V417" s="65"/>
    </row>
    <row r="418" spans="1:22" ht="30" customHeight="1" hidden="1">
      <c r="A418" s="38">
        <v>12</v>
      </c>
      <c r="B418" s="39" t="s">
        <v>26</v>
      </c>
      <c r="C418" s="40" t="s">
        <v>49</v>
      </c>
      <c r="D418" s="55"/>
      <c r="E418" s="79" t="s">
        <v>50</v>
      </c>
      <c r="F418" s="43">
        <f>SUM(F419:F435)</f>
        <v>393.486</v>
      </c>
      <c r="G418" s="67">
        <f>SUM(G419:G435)</f>
        <v>0</v>
      </c>
      <c r="H418" s="68">
        <f>SUM(H419:H435)</f>
        <v>0</v>
      </c>
      <c r="I418" s="69"/>
      <c r="J418" s="80"/>
      <c r="K418" s="70"/>
      <c r="L418" s="71">
        <v>1.0493274179925265</v>
      </c>
      <c r="M418" s="72">
        <f aca="true" t="shared" si="122" ref="M418:U418">SUM(M419:M435)</f>
        <v>279857.7</v>
      </c>
      <c r="N418" s="72">
        <f t="shared" si="122"/>
        <v>253831</v>
      </c>
      <c r="O418" s="72">
        <f t="shared" si="122"/>
        <v>0</v>
      </c>
      <c r="P418" s="72">
        <f t="shared" si="122"/>
        <v>0</v>
      </c>
      <c r="Q418" s="72">
        <f t="shared" si="122"/>
        <v>0</v>
      </c>
      <c r="R418" s="72">
        <f t="shared" si="122"/>
        <v>0</v>
      </c>
      <c r="S418" s="72">
        <f t="shared" si="122"/>
        <v>0</v>
      </c>
      <c r="T418" s="72">
        <f t="shared" si="122"/>
        <v>0</v>
      </c>
      <c r="U418" s="72">
        <f t="shared" si="122"/>
        <v>253831</v>
      </c>
      <c r="V418" s="73"/>
    </row>
    <row r="419" spans="1:22" ht="12.75" hidden="1">
      <c r="A419" s="52">
        <v>12</v>
      </c>
      <c r="B419" s="53">
        <v>15</v>
      </c>
      <c r="C419" s="54" t="s">
        <v>52</v>
      </c>
      <c r="D419" s="55" t="s">
        <v>774</v>
      </c>
      <c r="E419" s="56" t="s">
        <v>775</v>
      </c>
      <c r="F419" s="43">
        <v>0</v>
      </c>
      <c r="G419" s="128"/>
      <c r="H419" s="128"/>
      <c r="I419" s="58"/>
      <c r="J419" s="59">
        <f aca="true" t="shared" si="123" ref="J419:J435">+($F$7-$O$952-$Q$952-$P$952-$R$952-$S$952)/($F$952-$G$952*1-$H$952*0.5)*0.646*1.0268514</f>
        <v>742.8502282779862</v>
      </c>
      <c r="K419" s="60">
        <v>0.9336178972540682</v>
      </c>
      <c r="L419" s="75">
        <v>0</v>
      </c>
      <c r="M419" s="63">
        <f aca="true" t="shared" si="124" ref="M419:M435">ROUND(J419*(F419-G419-H419*I419)*K419*(0.5+0.5*L419),1)</f>
        <v>0</v>
      </c>
      <c r="N419" s="63">
        <f aca="true" t="shared" si="125" ref="N419:N435">ROUND(M419*0.907,1)</f>
        <v>0</v>
      </c>
      <c r="O419" s="62"/>
      <c r="P419" s="76"/>
      <c r="Q419" s="77"/>
      <c r="R419" s="76"/>
      <c r="S419" s="77"/>
      <c r="T419" s="64"/>
      <c r="U419" s="45">
        <f aca="true" t="shared" si="126" ref="U419:U435">+N419+O419+T419+R419+S419+Q419</f>
        <v>0</v>
      </c>
      <c r="V419" s="65"/>
    </row>
    <row r="420" spans="1:22" ht="12.75" hidden="1">
      <c r="A420" s="52">
        <v>12</v>
      </c>
      <c r="B420" s="53">
        <v>16</v>
      </c>
      <c r="C420" s="54" t="s">
        <v>52</v>
      </c>
      <c r="D420" s="55" t="s">
        <v>776</v>
      </c>
      <c r="E420" s="56" t="s">
        <v>777</v>
      </c>
      <c r="F420" s="43">
        <v>24.016</v>
      </c>
      <c r="G420" s="57"/>
      <c r="H420" s="57"/>
      <c r="I420" s="58"/>
      <c r="J420" s="59">
        <f t="shared" si="123"/>
        <v>742.8502282779862</v>
      </c>
      <c r="K420" s="60">
        <v>0.9336178972540682</v>
      </c>
      <c r="L420" s="75">
        <v>1.0312531293381397</v>
      </c>
      <c r="M420" s="63">
        <f t="shared" si="124"/>
        <v>16916.3</v>
      </c>
      <c r="N420" s="63">
        <f t="shared" si="125"/>
        <v>15343.1</v>
      </c>
      <c r="O420" s="62"/>
      <c r="P420" s="76"/>
      <c r="Q420" s="77"/>
      <c r="R420" s="76"/>
      <c r="S420" s="77"/>
      <c r="T420" s="64"/>
      <c r="U420" s="45">
        <f t="shared" si="126"/>
        <v>15343.1</v>
      </c>
      <c r="V420" s="65"/>
    </row>
    <row r="421" spans="1:22" ht="12.75" hidden="1">
      <c r="A421" s="52">
        <v>12</v>
      </c>
      <c r="B421" s="53">
        <v>17</v>
      </c>
      <c r="C421" s="54" t="s">
        <v>52</v>
      </c>
      <c r="D421" s="55" t="s">
        <v>778</v>
      </c>
      <c r="E421" s="56" t="s">
        <v>779</v>
      </c>
      <c r="F421" s="43">
        <v>5.97</v>
      </c>
      <c r="G421" s="57"/>
      <c r="H421" s="57"/>
      <c r="I421" s="58"/>
      <c r="J421" s="59">
        <f t="shared" si="123"/>
        <v>742.8502282779862</v>
      </c>
      <c r="K421" s="60">
        <v>0.9336178972540682</v>
      </c>
      <c r="L421" s="75">
        <v>1.0164834505056912</v>
      </c>
      <c r="M421" s="63">
        <f t="shared" si="124"/>
        <v>4174.5</v>
      </c>
      <c r="N421" s="63">
        <f t="shared" si="125"/>
        <v>3786.3</v>
      </c>
      <c r="O421" s="62"/>
      <c r="P421" s="76"/>
      <c r="Q421" s="77"/>
      <c r="R421" s="76"/>
      <c r="S421" s="77"/>
      <c r="T421" s="64"/>
      <c r="U421" s="45">
        <f t="shared" si="126"/>
        <v>3786.3</v>
      </c>
      <c r="V421" s="65"/>
    </row>
    <row r="422" spans="1:22" ht="25.5" hidden="1">
      <c r="A422" s="52">
        <v>12</v>
      </c>
      <c r="B422" s="53">
        <v>18</v>
      </c>
      <c r="C422" s="54" t="s">
        <v>52</v>
      </c>
      <c r="D422" s="55" t="s">
        <v>780</v>
      </c>
      <c r="E422" s="56" t="s">
        <v>781</v>
      </c>
      <c r="F422" s="43">
        <v>0</v>
      </c>
      <c r="G422" s="57"/>
      <c r="H422" s="57"/>
      <c r="I422" s="58"/>
      <c r="J422" s="59">
        <f t="shared" si="123"/>
        <v>742.8502282779862</v>
      </c>
      <c r="K422" s="60">
        <v>0.9336178972540682</v>
      </c>
      <c r="L422" s="75">
        <v>0</v>
      </c>
      <c r="M422" s="63">
        <f t="shared" si="124"/>
        <v>0</v>
      </c>
      <c r="N422" s="63">
        <f t="shared" si="125"/>
        <v>0</v>
      </c>
      <c r="O422" s="62"/>
      <c r="P422" s="76"/>
      <c r="Q422" s="77"/>
      <c r="R422" s="76"/>
      <c r="S422" s="77"/>
      <c r="T422" s="64"/>
      <c r="U422" s="45">
        <f t="shared" si="126"/>
        <v>0</v>
      </c>
      <c r="V422" s="65"/>
    </row>
    <row r="423" spans="1:22" ht="12.75" hidden="1">
      <c r="A423" s="52">
        <v>12</v>
      </c>
      <c r="B423" s="53">
        <v>19</v>
      </c>
      <c r="C423" s="54" t="s">
        <v>52</v>
      </c>
      <c r="D423" s="55" t="s">
        <v>782</v>
      </c>
      <c r="E423" s="56" t="s">
        <v>783</v>
      </c>
      <c r="F423" s="43">
        <v>40.396</v>
      </c>
      <c r="G423" s="57"/>
      <c r="H423" s="57"/>
      <c r="I423" s="58"/>
      <c r="J423" s="59">
        <f t="shared" si="123"/>
        <v>742.8502282779862</v>
      </c>
      <c r="K423" s="60">
        <v>0.9336178972540682</v>
      </c>
      <c r="L423" s="75">
        <v>1.0548427968902203</v>
      </c>
      <c r="M423" s="63">
        <f t="shared" si="124"/>
        <v>28784.4</v>
      </c>
      <c r="N423" s="63">
        <f t="shared" si="125"/>
        <v>26107.5</v>
      </c>
      <c r="O423" s="62"/>
      <c r="P423" s="76"/>
      <c r="Q423" s="77"/>
      <c r="R423" s="76"/>
      <c r="S423" s="77"/>
      <c r="T423" s="64"/>
      <c r="U423" s="45">
        <f t="shared" si="126"/>
        <v>26107.5</v>
      </c>
      <c r="V423" s="65"/>
    </row>
    <row r="424" spans="1:22" ht="12.75" hidden="1">
      <c r="A424" s="52">
        <v>12</v>
      </c>
      <c r="B424" s="53">
        <v>20</v>
      </c>
      <c r="C424" s="54" t="s">
        <v>52</v>
      </c>
      <c r="D424" s="55" t="s">
        <v>784</v>
      </c>
      <c r="E424" s="56" t="s">
        <v>785</v>
      </c>
      <c r="F424" s="43">
        <v>0</v>
      </c>
      <c r="G424" s="57"/>
      <c r="H424" s="57"/>
      <c r="I424" s="58"/>
      <c r="J424" s="59">
        <f t="shared" si="123"/>
        <v>742.8502282779862</v>
      </c>
      <c r="K424" s="60">
        <v>0.9336178972540682</v>
      </c>
      <c r="L424" s="75">
        <v>0</v>
      </c>
      <c r="M424" s="63">
        <f t="shared" si="124"/>
        <v>0</v>
      </c>
      <c r="N424" s="63">
        <f t="shared" si="125"/>
        <v>0</v>
      </c>
      <c r="O424" s="62"/>
      <c r="P424" s="76"/>
      <c r="Q424" s="77"/>
      <c r="R424" s="76"/>
      <c r="S424" s="77"/>
      <c r="T424" s="64"/>
      <c r="U424" s="45">
        <f t="shared" si="126"/>
        <v>0</v>
      </c>
      <c r="V424" s="65"/>
    </row>
    <row r="425" spans="1:22" ht="12.75" hidden="1">
      <c r="A425" s="52">
        <v>12</v>
      </c>
      <c r="B425" s="53">
        <v>21</v>
      </c>
      <c r="C425" s="54" t="s">
        <v>52</v>
      </c>
      <c r="D425" s="55" t="s">
        <v>786</v>
      </c>
      <c r="E425" s="56" t="s">
        <v>787</v>
      </c>
      <c r="F425" s="43">
        <v>15.182</v>
      </c>
      <c r="G425" s="57"/>
      <c r="H425" s="57"/>
      <c r="I425" s="58"/>
      <c r="J425" s="59">
        <f t="shared" si="123"/>
        <v>742.8502282779862</v>
      </c>
      <c r="K425" s="60">
        <v>0.9336178972540682</v>
      </c>
      <c r="L425" s="75">
        <v>1.021005338145186</v>
      </c>
      <c r="M425" s="63">
        <f t="shared" si="124"/>
        <v>10639.9</v>
      </c>
      <c r="N425" s="63">
        <f t="shared" si="125"/>
        <v>9650.4</v>
      </c>
      <c r="O425" s="62"/>
      <c r="P425" s="76"/>
      <c r="Q425" s="77"/>
      <c r="R425" s="76"/>
      <c r="S425" s="77"/>
      <c r="T425" s="64"/>
      <c r="U425" s="45">
        <f t="shared" si="126"/>
        <v>9650.4</v>
      </c>
      <c r="V425" s="65"/>
    </row>
    <row r="426" spans="1:22" ht="12.75" hidden="1">
      <c r="A426" s="52">
        <v>12</v>
      </c>
      <c r="B426" s="53">
        <v>22</v>
      </c>
      <c r="C426" s="54" t="s">
        <v>52</v>
      </c>
      <c r="D426" s="55" t="s">
        <v>788</v>
      </c>
      <c r="E426" s="56" t="s">
        <v>789</v>
      </c>
      <c r="F426" s="43">
        <v>15.365</v>
      </c>
      <c r="G426" s="57"/>
      <c r="H426" s="57"/>
      <c r="I426" s="58"/>
      <c r="J426" s="59">
        <f t="shared" si="123"/>
        <v>742.8502282779862</v>
      </c>
      <c r="K426" s="60">
        <v>0.9336178972540682</v>
      </c>
      <c r="L426" s="75">
        <v>1.0407210856570583</v>
      </c>
      <c r="M426" s="63">
        <f t="shared" si="124"/>
        <v>10873.2</v>
      </c>
      <c r="N426" s="63">
        <f t="shared" si="125"/>
        <v>9862</v>
      </c>
      <c r="O426" s="62"/>
      <c r="P426" s="76"/>
      <c r="Q426" s="77"/>
      <c r="R426" s="76"/>
      <c r="S426" s="77"/>
      <c r="T426" s="64"/>
      <c r="U426" s="45">
        <f t="shared" si="126"/>
        <v>9862</v>
      </c>
      <c r="V426" s="65"/>
    </row>
    <row r="427" spans="1:22" ht="12.75" hidden="1">
      <c r="A427" s="52">
        <v>12</v>
      </c>
      <c r="B427" s="53">
        <v>23</v>
      </c>
      <c r="C427" s="54" t="s">
        <v>52</v>
      </c>
      <c r="D427" s="55" t="s">
        <v>790</v>
      </c>
      <c r="E427" s="56" t="s">
        <v>791</v>
      </c>
      <c r="F427" s="43">
        <v>42.006</v>
      </c>
      <c r="G427" s="57"/>
      <c r="H427" s="57"/>
      <c r="I427" s="58"/>
      <c r="J427" s="59">
        <f t="shared" si="123"/>
        <v>742.8502282779862</v>
      </c>
      <c r="K427" s="60">
        <v>0.9336178972540682</v>
      </c>
      <c r="L427" s="75">
        <v>1.0852262754678945</v>
      </c>
      <c r="M427" s="63">
        <f t="shared" si="124"/>
        <v>30374.2</v>
      </c>
      <c r="N427" s="63">
        <f t="shared" si="125"/>
        <v>27549.4</v>
      </c>
      <c r="O427" s="62"/>
      <c r="P427" s="76"/>
      <c r="Q427" s="77"/>
      <c r="R427" s="76"/>
      <c r="S427" s="77"/>
      <c r="T427" s="64"/>
      <c r="U427" s="45">
        <f t="shared" si="126"/>
        <v>27549.4</v>
      </c>
      <c r="V427" s="65"/>
    </row>
    <row r="428" spans="1:22" ht="12.75" hidden="1">
      <c r="A428" s="52">
        <v>12</v>
      </c>
      <c r="B428" s="53">
        <v>24</v>
      </c>
      <c r="C428" s="54" t="s">
        <v>52</v>
      </c>
      <c r="D428" s="55" t="s">
        <v>792</v>
      </c>
      <c r="E428" s="56" t="s">
        <v>793</v>
      </c>
      <c r="F428" s="43">
        <v>22.179</v>
      </c>
      <c r="G428" s="57"/>
      <c r="H428" s="57"/>
      <c r="I428" s="58"/>
      <c r="J428" s="59">
        <f t="shared" si="123"/>
        <v>742.8502282779862</v>
      </c>
      <c r="K428" s="60">
        <v>0.9336178972540682</v>
      </c>
      <c r="L428" s="75">
        <v>1.0298522510659565</v>
      </c>
      <c r="M428" s="63">
        <f t="shared" si="124"/>
        <v>15611.6</v>
      </c>
      <c r="N428" s="63">
        <f t="shared" si="125"/>
        <v>14159.7</v>
      </c>
      <c r="O428" s="62"/>
      <c r="P428" s="76"/>
      <c r="Q428" s="77"/>
      <c r="R428" s="76"/>
      <c r="S428" s="77"/>
      <c r="T428" s="64"/>
      <c r="U428" s="45">
        <f t="shared" si="126"/>
        <v>14159.7</v>
      </c>
      <c r="V428" s="65"/>
    </row>
    <row r="429" spans="1:22" ht="12.75" hidden="1">
      <c r="A429" s="52">
        <v>12</v>
      </c>
      <c r="B429" s="53">
        <v>25</v>
      </c>
      <c r="C429" s="54" t="s">
        <v>52</v>
      </c>
      <c r="D429" s="55" t="s">
        <v>794</v>
      </c>
      <c r="E429" s="56" t="s">
        <v>795</v>
      </c>
      <c r="F429" s="43">
        <v>0</v>
      </c>
      <c r="G429" s="57"/>
      <c r="H429" s="57"/>
      <c r="I429" s="58"/>
      <c r="J429" s="59">
        <f t="shared" si="123"/>
        <v>742.8502282779862</v>
      </c>
      <c r="K429" s="60">
        <v>0.9336178972540682</v>
      </c>
      <c r="L429" s="75">
        <v>0</v>
      </c>
      <c r="M429" s="63">
        <f t="shared" si="124"/>
        <v>0</v>
      </c>
      <c r="N429" s="63">
        <f t="shared" si="125"/>
        <v>0</v>
      </c>
      <c r="O429" s="62"/>
      <c r="P429" s="76"/>
      <c r="Q429" s="77"/>
      <c r="R429" s="76"/>
      <c r="S429" s="77"/>
      <c r="T429" s="64"/>
      <c r="U429" s="45">
        <f t="shared" si="126"/>
        <v>0</v>
      </c>
      <c r="V429" s="65"/>
    </row>
    <row r="430" spans="1:22" ht="12.75" hidden="1">
      <c r="A430" s="52">
        <v>12</v>
      </c>
      <c r="B430" s="53">
        <v>26</v>
      </c>
      <c r="C430" s="54" t="s">
        <v>52</v>
      </c>
      <c r="D430" s="55" t="s">
        <v>796</v>
      </c>
      <c r="E430" s="56" t="s">
        <v>797</v>
      </c>
      <c r="F430" s="43">
        <v>78.374</v>
      </c>
      <c r="G430" s="57"/>
      <c r="H430" s="57"/>
      <c r="I430" s="58"/>
      <c r="J430" s="59">
        <f t="shared" si="123"/>
        <v>742.8502282779862</v>
      </c>
      <c r="K430" s="60">
        <v>0.9336178972540682</v>
      </c>
      <c r="L430" s="75">
        <v>1.0668797026357775</v>
      </c>
      <c r="M430" s="63">
        <f t="shared" si="124"/>
        <v>56173</v>
      </c>
      <c r="N430" s="63">
        <f t="shared" si="125"/>
        <v>50948.9</v>
      </c>
      <c r="O430" s="62"/>
      <c r="P430" s="76"/>
      <c r="Q430" s="77"/>
      <c r="R430" s="76"/>
      <c r="S430" s="77"/>
      <c r="T430" s="64"/>
      <c r="U430" s="45">
        <f t="shared" si="126"/>
        <v>50948.9</v>
      </c>
      <c r="V430" s="65"/>
    </row>
    <row r="431" spans="1:22" ht="12.75" hidden="1">
      <c r="A431" s="52">
        <v>12</v>
      </c>
      <c r="B431" s="53">
        <v>27</v>
      </c>
      <c r="C431" s="54" t="s">
        <v>52</v>
      </c>
      <c r="D431" s="55" t="s">
        <v>798</v>
      </c>
      <c r="E431" s="56" t="s">
        <v>799</v>
      </c>
      <c r="F431" s="43">
        <v>35.819</v>
      </c>
      <c r="G431" s="57"/>
      <c r="H431" s="57"/>
      <c r="I431" s="58"/>
      <c r="J431" s="59">
        <f t="shared" si="123"/>
        <v>742.8502282779862</v>
      </c>
      <c r="K431" s="60">
        <v>0.9336178972540682</v>
      </c>
      <c r="L431" s="75">
        <v>1.0490194776660726</v>
      </c>
      <c r="M431" s="63">
        <f t="shared" si="124"/>
        <v>25450.7</v>
      </c>
      <c r="N431" s="63">
        <f t="shared" si="125"/>
        <v>23083.8</v>
      </c>
      <c r="O431" s="62"/>
      <c r="P431" s="76"/>
      <c r="Q431" s="77"/>
      <c r="R431" s="76"/>
      <c r="S431" s="77"/>
      <c r="T431" s="64"/>
      <c r="U431" s="45">
        <f t="shared" si="126"/>
        <v>23083.8</v>
      </c>
      <c r="V431" s="65"/>
    </row>
    <row r="432" spans="1:22" ht="12.75" hidden="1">
      <c r="A432" s="52">
        <v>12</v>
      </c>
      <c r="B432" s="53">
        <v>28</v>
      </c>
      <c r="C432" s="54" t="s">
        <v>52</v>
      </c>
      <c r="D432" s="55" t="s">
        <v>800</v>
      </c>
      <c r="E432" s="56" t="s">
        <v>801</v>
      </c>
      <c r="F432" s="43">
        <v>0</v>
      </c>
      <c r="G432" s="57"/>
      <c r="H432" s="57"/>
      <c r="I432" s="58"/>
      <c r="J432" s="59">
        <f t="shared" si="123"/>
        <v>742.8502282779862</v>
      </c>
      <c r="K432" s="60">
        <v>0.9336178972540682</v>
      </c>
      <c r="L432" s="75">
        <v>0</v>
      </c>
      <c r="M432" s="63">
        <f t="shared" si="124"/>
        <v>0</v>
      </c>
      <c r="N432" s="63">
        <f t="shared" si="125"/>
        <v>0</v>
      </c>
      <c r="O432" s="62"/>
      <c r="P432" s="76"/>
      <c r="Q432" s="77"/>
      <c r="R432" s="76"/>
      <c r="S432" s="77"/>
      <c r="T432" s="64"/>
      <c r="U432" s="45">
        <f t="shared" si="126"/>
        <v>0</v>
      </c>
      <c r="V432" s="65"/>
    </row>
    <row r="433" spans="1:22" ht="12.75" hidden="1">
      <c r="A433" s="52">
        <v>12</v>
      </c>
      <c r="B433" s="53">
        <v>29</v>
      </c>
      <c r="C433" s="54" t="s">
        <v>52</v>
      </c>
      <c r="D433" s="55" t="s">
        <v>802</v>
      </c>
      <c r="E433" s="56" t="s">
        <v>803</v>
      </c>
      <c r="F433" s="43">
        <v>48.985</v>
      </c>
      <c r="G433" s="57"/>
      <c r="H433" s="57"/>
      <c r="I433" s="58"/>
      <c r="J433" s="59">
        <f t="shared" si="123"/>
        <v>742.8502282779862</v>
      </c>
      <c r="K433" s="60">
        <v>0.9336178972540682</v>
      </c>
      <c r="L433" s="75">
        <v>1.0700602679505653</v>
      </c>
      <c r="M433" s="63">
        <f t="shared" si="124"/>
        <v>35163</v>
      </c>
      <c r="N433" s="63">
        <f t="shared" si="125"/>
        <v>31892.8</v>
      </c>
      <c r="O433" s="62"/>
      <c r="P433" s="76"/>
      <c r="Q433" s="77"/>
      <c r="R433" s="76"/>
      <c r="S433" s="77"/>
      <c r="T433" s="64"/>
      <c r="U433" s="45">
        <f t="shared" si="126"/>
        <v>31892.8</v>
      </c>
      <c r="V433" s="65"/>
    </row>
    <row r="434" spans="1:22" ht="12.75" hidden="1">
      <c r="A434" s="52">
        <v>12</v>
      </c>
      <c r="B434" s="53">
        <v>30</v>
      </c>
      <c r="C434" s="54" t="s">
        <v>52</v>
      </c>
      <c r="D434" s="55" t="s">
        <v>804</v>
      </c>
      <c r="E434" s="56" t="s">
        <v>805</v>
      </c>
      <c r="F434" s="43">
        <v>44.984</v>
      </c>
      <c r="G434" s="57"/>
      <c r="H434" s="57"/>
      <c r="I434" s="58"/>
      <c r="J434" s="59">
        <f t="shared" si="123"/>
        <v>742.8502282779862</v>
      </c>
      <c r="K434" s="60">
        <v>0.9336178972540682</v>
      </c>
      <c r="L434" s="75">
        <v>1.0110405945204646</v>
      </c>
      <c r="M434" s="63">
        <f t="shared" si="124"/>
        <v>31370.3</v>
      </c>
      <c r="N434" s="63">
        <f t="shared" si="125"/>
        <v>28452.9</v>
      </c>
      <c r="O434" s="62"/>
      <c r="P434" s="76"/>
      <c r="Q434" s="77"/>
      <c r="R434" s="76"/>
      <c r="S434" s="77"/>
      <c r="T434" s="64"/>
      <c r="U434" s="45">
        <f t="shared" si="126"/>
        <v>28452.9</v>
      </c>
      <c r="V434" s="65"/>
    </row>
    <row r="435" spans="1:22" ht="12.75" hidden="1">
      <c r="A435" s="52">
        <v>12</v>
      </c>
      <c r="B435" s="53">
        <v>31</v>
      </c>
      <c r="C435" s="54" t="s">
        <v>52</v>
      </c>
      <c r="D435" s="55" t="s">
        <v>806</v>
      </c>
      <c r="E435" s="56" t="s">
        <v>807</v>
      </c>
      <c r="F435" s="43">
        <v>20.21</v>
      </c>
      <c r="G435" s="57"/>
      <c r="H435" s="57"/>
      <c r="I435" s="58"/>
      <c r="J435" s="59">
        <f t="shared" si="123"/>
        <v>742.8502282779862</v>
      </c>
      <c r="K435" s="60">
        <v>0.9336178972540682</v>
      </c>
      <c r="L435" s="75">
        <v>1.0442601239416294</v>
      </c>
      <c r="M435" s="63">
        <f t="shared" si="124"/>
        <v>14326.6</v>
      </c>
      <c r="N435" s="63">
        <f t="shared" si="125"/>
        <v>12994.2</v>
      </c>
      <c r="O435" s="62"/>
      <c r="P435" s="76"/>
      <c r="Q435" s="77"/>
      <c r="R435" s="76"/>
      <c r="S435" s="77"/>
      <c r="T435" s="64"/>
      <c r="U435" s="45">
        <f t="shared" si="126"/>
        <v>12994.2</v>
      </c>
      <c r="V435" s="65"/>
    </row>
    <row r="436" spans="1:22" ht="25.5" hidden="1">
      <c r="A436" s="142">
        <v>12</v>
      </c>
      <c r="B436" s="143" t="s">
        <v>26</v>
      </c>
      <c r="C436" s="144" t="s">
        <v>111</v>
      </c>
      <c r="D436" s="169"/>
      <c r="E436" s="79" t="s">
        <v>112</v>
      </c>
      <c r="F436" s="43">
        <f>F437+F438</f>
        <v>25.512</v>
      </c>
      <c r="G436" s="83">
        <f>SUM(G437:G438)</f>
        <v>0</v>
      </c>
      <c r="H436" s="83">
        <f>SUM(H437:H438)</f>
        <v>0</v>
      </c>
      <c r="I436" s="58"/>
      <c r="J436" s="59"/>
      <c r="K436" s="60"/>
      <c r="L436" s="75">
        <v>0</v>
      </c>
      <c r="M436" s="163">
        <f aca="true" t="shared" si="127" ref="M436:U436">M437+M438</f>
        <v>17896.3</v>
      </c>
      <c r="N436" s="163">
        <f t="shared" si="127"/>
        <v>16231.900000000001</v>
      </c>
      <c r="O436" s="163">
        <f t="shared" si="127"/>
        <v>0</v>
      </c>
      <c r="P436" s="163">
        <f t="shared" si="127"/>
        <v>0</v>
      </c>
      <c r="Q436" s="163">
        <f t="shared" si="127"/>
        <v>0</v>
      </c>
      <c r="R436" s="163">
        <f t="shared" si="127"/>
        <v>0</v>
      </c>
      <c r="S436" s="163">
        <f t="shared" si="127"/>
        <v>0</v>
      </c>
      <c r="T436" s="163">
        <f t="shared" si="127"/>
        <v>0</v>
      </c>
      <c r="U436" s="163">
        <f t="shared" si="127"/>
        <v>16231.900000000001</v>
      </c>
      <c r="V436" s="51"/>
    </row>
    <row r="437" spans="1:22" ht="26.25" hidden="1">
      <c r="A437" s="145">
        <v>12</v>
      </c>
      <c r="B437" s="87">
        <v>32</v>
      </c>
      <c r="C437" s="88" t="s">
        <v>113</v>
      </c>
      <c r="D437" s="169" t="s">
        <v>808</v>
      </c>
      <c r="E437" s="56" t="s">
        <v>809</v>
      </c>
      <c r="F437" s="43">
        <v>13.226</v>
      </c>
      <c r="G437" s="57"/>
      <c r="H437" s="57"/>
      <c r="I437" s="58"/>
      <c r="J437" s="59">
        <f>+($F$7-$O$952-$Q$952-$P$952-$R$952-$S$952)/($F$952-$G$952*1-$H$952*0.5)*0.646*1.0268514</f>
        <v>742.8502282779862</v>
      </c>
      <c r="K437" s="60">
        <v>0.9336178972540682</v>
      </c>
      <c r="L437" s="75">
        <v>1.0164834505056912</v>
      </c>
      <c r="M437" s="63">
        <f>ROUND(J437*(F437-G437-H437*I437)*K437*(0.5+0.5*L437),1)</f>
        <v>9248.3</v>
      </c>
      <c r="N437" s="63">
        <f>ROUND(M437*0.907,1)</f>
        <v>8388.2</v>
      </c>
      <c r="O437" s="62"/>
      <c r="P437" s="76"/>
      <c r="Q437" s="77"/>
      <c r="R437" s="76"/>
      <c r="S437" s="77"/>
      <c r="T437" s="64"/>
      <c r="U437" s="45">
        <f>+N437+O437+T437+R437+S437+Q437</f>
        <v>8388.2</v>
      </c>
      <c r="V437" s="65"/>
    </row>
    <row r="438" spans="1:22" ht="26.25" hidden="1">
      <c r="A438" s="145">
        <v>12</v>
      </c>
      <c r="B438" s="87"/>
      <c r="C438" s="88" t="s">
        <v>113</v>
      </c>
      <c r="D438" s="169" t="s">
        <v>810</v>
      </c>
      <c r="E438" s="56" t="s">
        <v>811</v>
      </c>
      <c r="F438" s="43">
        <v>12.286</v>
      </c>
      <c r="G438" s="57"/>
      <c r="H438" s="57"/>
      <c r="I438" s="58"/>
      <c r="J438" s="59">
        <f>+($F$7-$O$952-$Q$952-$P$952-$R$952-$S$952)/($F$952-$G$952*1-$H$952*0.5)*0.646*1.0268514</f>
        <v>742.8502282779862</v>
      </c>
      <c r="K438" s="60">
        <v>0.9336178972540682</v>
      </c>
      <c r="L438" s="75">
        <v>1.0298522510659565</v>
      </c>
      <c r="M438" s="63">
        <f>ROUND(J438*(F438-G438-H438*I438)*K438*(0.5+0.5*L438),1)</f>
        <v>8648</v>
      </c>
      <c r="N438" s="63">
        <f>ROUND(M438*0.907,1)</f>
        <v>7843.7</v>
      </c>
      <c r="O438" s="62"/>
      <c r="P438" s="76"/>
      <c r="Q438" s="77"/>
      <c r="R438" s="76"/>
      <c r="S438" s="77"/>
      <c r="T438" s="64"/>
      <c r="U438" s="45">
        <f>+N438+O438+T438+R438+S438+Q438</f>
        <v>7843.7</v>
      </c>
      <c r="V438" s="65"/>
    </row>
    <row r="439" spans="1:22" ht="25.5" hidden="1">
      <c r="A439" s="170">
        <v>13</v>
      </c>
      <c r="B439" s="167" t="s">
        <v>26</v>
      </c>
      <c r="C439" s="40" t="s">
        <v>27</v>
      </c>
      <c r="D439" s="55"/>
      <c r="E439" s="168" t="s">
        <v>812</v>
      </c>
      <c r="F439" s="43">
        <f>F440+F441+F451+F472</f>
        <v>2534.1739999999995</v>
      </c>
      <c r="G439" s="44">
        <f>+G440+G441+G451+G472</f>
        <v>0</v>
      </c>
      <c r="H439" s="44">
        <f>+H440+H441+H451+H472</f>
        <v>0</v>
      </c>
      <c r="I439" s="45"/>
      <c r="J439" s="46"/>
      <c r="K439" s="47"/>
      <c r="L439" s="48">
        <v>0.9843935184825344</v>
      </c>
      <c r="M439" s="49">
        <f aca="true" t="shared" si="128" ref="M439:U439">+M440+M441+M451+M472</f>
        <v>2801204.9</v>
      </c>
      <c r="N439" s="49">
        <f t="shared" si="128"/>
        <v>2801204.9</v>
      </c>
      <c r="O439" s="49">
        <f t="shared" si="128"/>
        <v>23822.1</v>
      </c>
      <c r="P439" s="49">
        <f t="shared" si="128"/>
        <v>193.7</v>
      </c>
      <c r="Q439" s="49">
        <f t="shared" si="128"/>
        <v>33487.1</v>
      </c>
      <c r="R439" s="49">
        <f t="shared" si="128"/>
        <v>67521.8</v>
      </c>
      <c r="S439" s="49">
        <f t="shared" si="128"/>
        <v>210.1</v>
      </c>
      <c r="T439" s="49">
        <f t="shared" si="128"/>
        <v>0</v>
      </c>
      <c r="U439" s="49">
        <f t="shared" si="128"/>
        <v>2926439.6999999997</v>
      </c>
      <c r="V439" s="65"/>
    </row>
    <row r="440" spans="1:22" ht="12.75" hidden="1">
      <c r="A440" s="52">
        <v>13</v>
      </c>
      <c r="B440" s="53" t="s">
        <v>26</v>
      </c>
      <c r="C440" s="54" t="s">
        <v>29</v>
      </c>
      <c r="D440" s="55" t="s">
        <v>813</v>
      </c>
      <c r="E440" s="56" t="s">
        <v>31</v>
      </c>
      <c r="F440" s="43">
        <v>0</v>
      </c>
      <c r="G440" s="57"/>
      <c r="H440" s="57"/>
      <c r="I440" s="58"/>
      <c r="J440" s="59">
        <f>+($F$7-$O$952-$Q$952-$P$952-R$952-$S$952)/$F$952*0.354*0.951</f>
        <v>376.76602120660414</v>
      </c>
      <c r="K440" s="60">
        <v>0</v>
      </c>
      <c r="L440" s="48">
        <v>0.9843935184825344</v>
      </c>
      <c r="M440" s="49">
        <f>ROUND(J440*(F441+F451+F472)*(0.5+0.5*L440),1)</f>
        <v>947340.2</v>
      </c>
      <c r="N440" s="49">
        <f>M440+ROUND(SUM(M442:M450)*0.117+SUM(M452:M471)*0.093+SUM(M473:M487)*0.093,1)</f>
        <v>1141092.7</v>
      </c>
      <c r="O440" s="62">
        <v>316.8</v>
      </c>
      <c r="P440" s="62">
        <v>193.7</v>
      </c>
      <c r="Q440" s="63">
        <v>33487.1</v>
      </c>
      <c r="R440" s="62">
        <v>67521.8</v>
      </c>
      <c r="S440" s="63">
        <v>210.1</v>
      </c>
      <c r="T440" s="64"/>
      <c r="U440" s="45">
        <f>N440+O440+P440+Q440+R440+S440+T440</f>
        <v>1242822.2000000002</v>
      </c>
      <c r="V440" s="65"/>
    </row>
    <row r="441" spans="1:22" s="147" customFormat="1" ht="13.5" hidden="1">
      <c r="A441" s="38">
        <v>13</v>
      </c>
      <c r="B441" s="39" t="s">
        <v>26</v>
      </c>
      <c r="C441" s="40" t="s">
        <v>33</v>
      </c>
      <c r="D441" s="55"/>
      <c r="E441" s="79" t="s">
        <v>34</v>
      </c>
      <c r="F441" s="43">
        <f>SUM(F442:F450)</f>
        <v>1132.3960000000002</v>
      </c>
      <c r="G441" s="67">
        <f>SUM(G442:G450)</f>
        <v>0</v>
      </c>
      <c r="H441" s="68">
        <f>SUM(H442:H450)</f>
        <v>0</v>
      </c>
      <c r="I441" s="69"/>
      <c r="J441" s="59"/>
      <c r="K441" s="70"/>
      <c r="L441" s="71">
        <v>0.9844540097570852</v>
      </c>
      <c r="M441" s="72">
        <f aca="true" t="shared" si="129" ref="M441:U441">SUM(M442:M450)</f>
        <v>889293.2000000001</v>
      </c>
      <c r="N441" s="72">
        <f t="shared" si="129"/>
        <v>785245.9999999999</v>
      </c>
      <c r="O441" s="72">
        <f t="shared" si="129"/>
        <v>441.8</v>
      </c>
      <c r="P441" s="72">
        <f t="shared" si="129"/>
        <v>0</v>
      </c>
      <c r="Q441" s="72">
        <f t="shared" si="129"/>
        <v>0</v>
      </c>
      <c r="R441" s="72">
        <f t="shared" si="129"/>
        <v>0</v>
      </c>
      <c r="S441" s="72">
        <f t="shared" si="129"/>
        <v>0</v>
      </c>
      <c r="T441" s="72">
        <f t="shared" si="129"/>
        <v>6996.4</v>
      </c>
      <c r="U441" s="72">
        <f t="shared" si="129"/>
        <v>792684.2</v>
      </c>
      <c r="V441" s="73"/>
    </row>
    <row r="442" spans="1:22" ht="12.75" hidden="1">
      <c r="A442" s="52">
        <v>13</v>
      </c>
      <c r="B442" s="53" t="s">
        <v>35</v>
      </c>
      <c r="C442" s="54" t="s">
        <v>36</v>
      </c>
      <c r="D442" s="55" t="s">
        <v>814</v>
      </c>
      <c r="E442" s="74" t="s">
        <v>815</v>
      </c>
      <c r="F442" s="43">
        <v>758.398</v>
      </c>
      <c r="G442" s="162"/>
      <c r="H442" s="162"/>
      <c r="I442" s="58"/>
      <c r="J442" s="59">
        <f aca="true" t="shared" si="130" ref="J442:J450">+($F$7-$O$952-$Q$952-$P$952-$R$952-$S$952)/($F$952-$G$952*1-$H$952*0.5)*0.646*1.0268514</f>
        <v>742.8502282779862</v>
      </c>
      <c r="K442" s="60">
        <v>1.065228053001168</v>
      </c>
      <c r="L442" s="75">
        <v>0.986183765898042</v>
      </c>
      <c r="M442" s="63">
        <f aca="true" t="shared" si="131" ref="M442:M450">ROUND(J442*(F442-G442-H442*I442)*K442*(0.5+0.5*L442),1)</f>
        <v>595978.3</v>
      </c>
      <c r="N442" s="63">
        <f aca="true" t="shared" si="132" ref="N442:N450">ROUND(M442*0.883,1)</f>
        <v>526248.8</v>
      </c>
      <c r="O442" s="62"/>
      <c r="P442" s="76"/>
      <c r="Q442" s="77"/>
      <c r="R442" s="76"/>
      <c r="S442" s="77"/>
      <c r="T442" s="64">
        <f>-384.1+100+842.5+338.6+200+268+600+5+793.3+75+80</f>
        <v>2918.3</v>
      </c>
      <c r="U442" s="45">
        <f aca="true" t="shared" si="133" ref="U442:U450">+N442+O442+T442+R442+S442+Q442</f>
        <v>529167.1000000001</v>
      </c>
      <c r="V442" s="65"/>
    </row>
    <row r="443" spans="1:22" ht="12.75" hidden="1">
      <c r="A443" s="52">
        <v>13</v>
      </c>
      <c r="B443" s="53" t="s">
        <v>32</v>
      </c>
      <c r="C443" s="54" t="s">
        <v>36</v>
      </c>
      <c r="D443" s="55" t="s">
        <v>816</v>
      </c>
      <c r="E443" s="78" t="s">
        <v>817</v>
      </c>
      <c r="F443" s="43">
        <v>36.647</v>
      </c>
      <c r="G443" s="57"/>
      <c r="H443" s="57"/>
      <c r="I443" s="58"/>
      <c r="J443" s="59">
        <f t="shared" si="130"/>
        <v>742.8502282779862</v>
      </c>
      <c r="K443" s="60">
        <v>1.065228053001168</v>
      </c>
      <c r="L443" s="75">
        <v>0.9895997871878928</v>
      </c>
      <c r="M443" s="63">
        <f t="shared" si="131"/>
        <v>28848.2</v>
      </c>
      <c r="N443" s="63">
        <f t="shared" si="132"/>
        <v>25473</v>
      </c>
      <c r="O443" s="62">
        <v>441.8</v>
      </c>
      <c r="P443" s="76"/>
      <c r="Q443" s="77"/>
      <c r="R443" s="76"/>
      <c r="S443" s="77"/>
      <c r="T443" s="64"/>
      <c r="U443" s="45">
        <f t="shared" si="133"/>
        <v>25914.8</v>
      </c>
      <c r="V443" s="65"/>
    </row>
    <row r="444" spans="1:22" ht="12.75" hidden="1">
      <c r="A444" s="52">
        <v>13</v>
      </c>
      <c r="B444" s="53" t="s">
        <v>118</v>
      </c>
      <c r="C444" s="54" t="s">
        <v>36</v>
      </c>
      <c r="D444" s="55" t="s">
        <v>818</v>
      </c>
      <c r="E444" s="78" t="s">
        <v>819</v>
      </c>
      <c r="F444" s="43">
        <v>97.574</v>
      </c>
      <c r="G444" s="57"/>
      <c r="H444" s="57"/>
      <c r="I444" s="58"/>
      <c r="J444" s="59">
        <f t="shared" si="130"/>
        <v>742.8502282779862</v>
      </c>
      <c r="K444" s="60">
        <v>1.065228053001168</v>
      </c>
      <c r="L444" s="75">
        <v>0.9806055720315121</v>
      </c>
      <c r="M444" s="63">
        <f t="shared" si="131"/>
        <v>76462.1</v>
      </c>
      <c r="N444" s="63">
        <f t="shared" si="132"/>
        <v>67516</v>
      </c>
      <c r="O444" s="62"/>
      <c r="P444" s="76"/>
      <c r="Q444" s="77"/>
      <c r="R444" s="76"/>
      <c r="S444" s="77"/>
      <c r="T444" s="64"/>
      <c r="U444" s="45">
        <f t="shared" si="133"/>
        <v>67516</v>
      </c>
      <c r="V444" s="65"/>
    </row>
    <row r="445" spans="1:22" ht="12.75" hidden="1">
      <c r="A445" s="52">
        <v>13</v>
      </c>
      <c r="B445" s="171" t="s">
        <v>127</v>
      </c>
      <c r="C445" s="54" t="s">
        <v>36</v>
      </c>
      <c r="D445" s="55" t="s">
        <v>820</v>
      </c>
      <c r="E445" s="78" t="s">
        <v>821</v>
      </c>
      <c r="F445" s="43">
        <v>5.926</v>
      </c>
      <c r="G445" s="57"/>
      <c r="H445" s="57"/>
      <c r="I445" s="58"/>
      <c r="J445" s="59">
        <f t="shared" si="130"/>
        <v>742.8502282779862</v>
      </c>
      <c r="K445" s="60">
        <v>1.065228053001168</v>
      </c>
      <c r="L445" s="75">
        <v>1.0079945170353721</v>
      </c>
      <c r="M445" s="63">
        <f t="shared" si="131"/>
        <v>4708</v>
      </c>
      <c r="N445" s="63">
        <f t="shared" si="132"/>
        <v>4157.2</v>
      </c>
      <c r="O445" s="62"/>
      <c r="P445" s="76"/>
      <c r="Q445" s="77"/>
      <c r="R445" s="76"/>
      <c r="S445" s="77"/>
      <c r="T445" s="172">
        <f>-5-640.7+1155.7+50+543.6-543.6</f>
        <v>559.9999999999999</v>
      </c>
      <c r="U445" s="45">
        <f t="shared" si="133"/>
        <v>4717.2</v>
      </c>
      <c r="V445" s="65"/>
    </row>
    <row r="446" spans="1:22" ht="12.75" hidden="1">
      <c r="A446" s="52">
        <v>13</v>
      </c>
      <c r="B446" s="171" t="s">
        <v>51</v>
      </c>
      <c r="C446" s="54" t="s">
        <v>36</v>
      </c>
      <c r="D446" s="55" t="s">
        <v>822</v>
      </c>
      <c r="E446" s="78" t="s">
        <v>823</v>
      </c>
      <c r="F446" s="43">
        <v>28.746</v>
      </c>
      <c r="G446" s="57"/>
      <c r="H446" s="57"/>
      <c r="I446" s="58"/>
      <c r="J446" s="59">
        <f t="shared" si="130"/>
        <v>742.8502282779862</v>
      </c>
      <c r="K446" s="60">
        <v>1.065228053001168</v>
      </c>
      <c r="L446" s="75">
        <v>0.9596836325226965</v>
      </c>
      <c r="M446" s="63">
        <f t="shared" si="131"/>
        <v>22288.3</v>
      </c>
      <c r="N446" s="63">
        <f t="shared" si="132"/>
        <v>19680.6</v>
      </c>
      <c r="O446" s="62"/>
      <c r="P446" s="76"/>
      <c r="Q446" s="77"/>
      <c r="R446" s="76"/>
      <c r="S446" s="77"/>
      <c r="T446" s="64"/>
      <c r="U446" s="45">
        <f t="shared" si="133"/>
        <v>19680.6</v>
      </c>
      <c r="V446" s="65"/>
    </row>
    <row r="447" spans="1:22" s="82" customFormat="1" ht="13.5" hidden="1">
      <c r="A447" s="52">
        <v>13</v>
      </c>
      <c r="B447" s="171" t="s">
        <v>55</v>
      </c>
      <c r="C447" s="54" t="s">
        <v>36</v>
      </c>
      <c r="D447" s="55" t="s">
        <v>824</v>
      </c>
      <c r="E447" s="78" t="s">
        <v>825</v>
      </c>
      <c r="F447" s="43">
        <v>35.026</v>
      </c>
      <c r="G447" s="57"/>
      <c r="H447" s="57"/>
      <c r="I447" s="58"/>
      <c r="J447" s="59">
        <f t="shared" si="130"/>
        <v>742.8502282779862</v>
      </c>
      <c r="K447" s="60">
        <v>1.065228053001168</v>
      </c>
      <c r="L447" s="75">
        <v>0.9662082764629306</v>
      </c>
      <c r="M447" s="63">
        <f t="shared" si="131"/>
        <v>27248</v>
      </c>
      <c r="N447" s="63">
        <f t="shared" si="132"/>
        <v>24060</v>
      </c>
      <c r="O447" s="62"/>
      <c r="P447" s="76"/>
      <c r="Q447" s="77"/>
      <c r="R447" s="76"/>
      <c r="S447" s="77"/>
      <c r="T447" s="64"/>
      <c r="U447" s="45">
        <f t="shared" si="133"/>
        <v>24060</v>
      </c>
      <c r="V447" s="65"/>
    </row>
    <row r="448" spans="1:22" s="129" customFormat="1" ht="12.75" hidden="1">
      <c r="A448" s="52">
        <v>13</v>
      </c>
      <c r="B448" s="171" t="s">
        <v>58</v>
      </c>
      <c r="C448" s="54" t="s">
        <v>36</v>
      </c>
      <c r="D448" s="55" t="s">
        <v>826</v>
      </c>
      <c r="E448" s="78" t="s">
        <v>827</v>
      </c>
      <c r="F448" s="43">
        <v>59.426</v>
      </c>
      <c r="G448" s="57"/>
      <c r="H448" s="57"/>
      <c r="I448" s="58"/>
      <c r="J448" s="59">
        <f t="shared" si="130"/>
        <v>742.8502282779862</v>
      </c>
      <c r="K448" s="60">
        <v>1.065228053001168</v>
      </c>
      <c r="L448" s="75">
        <v>0.964369463509595</v>
      </c>
      <c r="M448" s="63">
        <f t="shared" si="131"/>
        <v>46186.3</v>
      </c>
      <c r="N448" s="63">
        <f t="shared" si="132"/>
        <v>40782.5</v>
      </c>
      <c r="O448" s="62"/>
      <c r="P448" s="76"/>
      <c r="Q448" s="77"/>
      <c r="R448" s="76"/>
      <c r="S448" s="77"/>
      <c r="T448" s="172">
        <f>-268+428.9-5833.7+9190.9-543.6+543.6</f>
        <v>3518.0999999999995</v>
      </c>
      <c r="U448" s="45">
        <f t="shared" si="133"/>
        <v>44300.6</v>
      </c>
      <c r="V448" s="65"/>
    </row>
    <row r="449" spans="1:22" ht="12.75" hidden="1">
      <c r="A449" s="52">
        <v>13</v>
      </c>
      <c r="B449" s="171" t="s">
        <v>61</v>
      </c>
      <c r="C449" s="54" t="s">
        <v>36</v>
      </c>
      <c r="D449" s="55" t="s">
        <v>828</v>
      </c>
      <c r="E449" s="78" t="s">
        <v>829</v>
      </c>
      <c r="F449" s="43">
        <v>28.982</v>
      </c>
      <c r="G449" s="57"/>
      <c r="H449" s="57"/>
      <c r="I449" s="58"/>
      <c r="J449" s="59">
        <f t="shared" si="130"/>
        <v>742.8502282779862</v>
      </c>
      <c r="K449" s="60">
        <v>1.065228053001168</v>
      </c>
      <c r="L449" s="75">
        <v>1.0360783706648353</v>
      </c>
      <c r="M449" s="63">
        <f t="shared" si="131"/>
        <v>23347.3</v>
      </c>
      <c r="N449" s="63">
        <f t="shared" si="132"/>
        <v>20615.7</v>
      </c>
      <c r="O449" s="62"/>
      <c r="P449" s="76"/>
      <c r="Q449" s="77"/>
      <c r="R449" s="76"/>
      <c r="S449" s="77"/>
      <c r="T449" s="64"/>
      <c r="U449" s="45">
        <f t="shared" si="133"/>
        <v>20615.7</v>
      </c>
      <c r="V449" s="65"/>
    </row>
    <row r="450" spans="1:22" ht="12.75" hidden="1">
      <c r="A450" s="52">
        <v>13</v>
      </c>
      <c r="B450" s="171" t="s">
        <v>64</v>
      </c>
      <c r="C450" s="54" t="s">
        <v>36</v>
      </c>
      <c r="D450" s="55" t="s">
        <v>830</v>
      </c>
      <c r="E450" s="78" t="s">
        <v>831</v>
      </c>
      <c r="F450" s="43">
        <v>81.671</v>
      </c>
      <c r="G450" s="57"/>
      <c r="H450" s="57"/>
      <c r="I450" s="58"/>
      <c r="J450" s="59">
        <f t="shared" si="130"/>
        <v>742.8502282779862</v>
      </c>
      <c r="K450" s="60">
        <v>1.065228053001168</v>
      </c>
      <c r="L450" s="75">
        <v>0.9876211473361783</v>
      </c>
      <c r="M450" s="63">
        <f t="shared" si="131"/>
        <v>64226.7</v>
      </c>
      <c r="N450" s="63">
        <f t="shared" si="132"/>
        <v>56712.2</v>
      </c>
      <c r="O450" s="62"/>
      <c r="P450" s="76"/>
      <c r="Q450" s="77"/>
      <c r="R450" s="76"/>
      <c r="S450" s="77"/>
      <c r="T450" s="64"/>
      <c r="U450" s="45">
        <f t="shared" si="133"/>
        <v>56712.2</v>
      </c>
      <c r="V450" s="65"/>
    </row>
    <row r="451" spans="1:22" ht="31.5" customHeight="1" hidden="1">
      <c r="A451" s="38">
        <v>13</v>
      </c>
      <c r="B451" s="39" t="s">
        <v>26</v>
      </c>
      <c r="C451" s="40" t="s">
        <v>49</v>
      </c>
      <c r="D451" s="55"/>
      <c r="E451" s="79" t="s">
        <v>50</v>
      </c>
      <c r="F451" s="43">
        <f>SUM(F452:F471)</f>
        <v>1334.2269999999996</v>
      </c>
      <c r="G451" s="67">
        <f>SUM(G452:G471)</f>
        <v>0</v>
      </c>
      <c r="H451" s="68">
        <f>SUM(H452:H471)</f>
        <v>0</v>
      </c>
      <c r="I451" s="69"/>
      <c r="J451" s="80"/>
      <c r="K451" s="70"/>
      <c r="L451" s="71">
        <v>0.984345594528877</v>
      </c>
      <c r="M451" s="72">
        <f aca="true" t="shared" si="134" ref="M451:U451">SUM(M452:M471)</f>
        <v>917978.1</v>
      </c>
      <c r="N451" s="72">
        <f t="shared" si="134"/>
        <v>832605.9999999999</v>
      </c>
      <c r="O451" s="72">
        <f t="shared" si="134"/>
        <v>23063.5</v>
      </c>
      <c r="P451" s="72">
        <f t="shared" si="134"/>
        <v>0</v>
      </c>
      <c r="Q451" s="72">
        <f t="shared" si="134"/>
        <v>0</v>
      </c>
      <c r="R451" s="72">
        <f t="shared" si="134"/>
        <v>0</v>
      </c>
      <c r="S451" s="72">
        <f t="shared" si="134"/>
        <v>0</v>
      </c>
      <c r="T451" s="72">
        <f t="shared" si="134"/>
        <v>-5400.1</v>
      </c>
      <c r="U451" s="72">
        <f t="shared" si="134"/>
        <v>850269.3999999999</v>
      </c>
      <c r="V451" s="73"/>
    </row>
    <row r="452" spans="1:22" ht="12.75" hidden="1">
      <c r="A452" s="52">
        <v>13</v>
      </c>
      <c r="B452" s="53" t="s">
        <v>61</v>
      </c>
      <c r="C452" s="54" t="s">
        <v>52</v>
      </c>
      <c r="D452" s="55" t="s">
        <v>832</v>
      </c>
      <c r="E452" s="56" t="s">
        <v>833</v>
      </c>
      <c r="F452" s="43">
        <v>56.599</v>
      </c>
      <c r="G452" s="128"/>
      <c r="H452" s="128"/>
      <c r="I452" s="58"/>
      <c r="J452" s="59">
        <f aca="true" t="shared" si="135" ref="J452:J471">+($F$7-$O$952-$Q$952-$P$952-$R$952-$S$952)/($F$952-$G$952*1-$H$952*0.5)*0.646*1.0268514</f>
        <v>742.8502282779862</v>
      </c>
      <c r="K452" s="60">
        <v>0.9336178972540682</v>
      </c>
      <c r="L452" s="75">
        <v>0.9921560210930819</v>
      </c>
      <c r="M452" s="63">
        <f aca="true" t="shared" si="136" ref="M452:M471">ROUND(J452*(F452-G452-H452*I452)*K452*(0.5+0.5*L452),1)</f>
        <v>39099.6</v>
      </c>
      <c r="N452" s="63">
        <f aca="true" t="shared" si="137" ref="N452:N471">ROUND(M452*0.907,1)</f>
        <v>35463.3</v>
      </c>
      <c r="O452" s="62"/>
      <c r="P452" s="76"/>
      <c r="Q452" s="77"/>
      <c r="R452" s="76"/>
      <c r="S452" s="77"/>
      <c r="T452" s="64"/>
      <c r="U452" s="45">
        <f aca="true" t="shared" si="138" ref="U452:U471">+N452+O452+T452+R452+S452+Q452</f>
        <v>35463.3</v>
      </c>
      <c r="V452" s="65"/>
    </row>
    <row r="453" spans="1:22" ht="12.75" hidden="1">
      <c r="A453" s="52">
        <v>13</v>
      </c>
      <c r="B453" s="53" t="s">
        <v>64</v>
      </c>
      <c r="C453" s="54" t="s">
        <v>52</v>
      </c>
      <c r="D453" s="55" t="s">
        <v>834</v>
      </c>
      <c r="E453" s="56" t="s">
        <v>835</v>
      </c>
      <c r="F453" s="43">
        <v>46.399</v>
      </c>
      <c r="G453" s="57"/>
      <c r="H453" s="57"/>
      <c r="I453" s="58"/>
      <c r="J453" s="59">
        <f t="shared" si="135"/>
        <v>742.8502282779862</v>
      </c>
      <c r="K453" s="60">
        <v>0.9336178972540682</v>
      </c>
      <c r="L453" s="75">
        <v>0.9928090676898033</v>
      </c>
      <c r="M453" s="63">
        <f t="shared" si="136"/>
        <v>32063.8</v>
      </c>
      <c r="N453" s="63">
        <f t="shared" si="137"/>
        <v>29081.9</v>
      </c>
      <c r="O453" s="62"/>
      <c r="P453" s="76"/>
      <c r="Q453" s="77"/>
      <c r="R453" s="76"/>
      <c r="S453" s="77"/>
      <c r="T453" s="64">
        <f>-80</f>
        <v>-80</v>
      </c>
      <c r="U453" s="45">
        <f t="shared" si="138"/>
        <v>29001.9</v>
      </c>
      <c r="V453" s="65"/>
    </row>
    <row r="454" spans="1:22" ht="12.75" hidden="1">
      <c r="A454" s="52">
        <v>13</v>
      </c>
      <c r="B454" s="53">
        <v>10</v>
      </c>
      <c r="C454" s="54" t="s">
        <v>52</v>
      </c>
      <c r="D454" s="55" t="s">
        <v>836</v>
      </c>
      <c r="E454" s="56" t="s">
        <v>837</v>
      </c>
      <c r="F454" s="43">
        <v>69.137</v>
      </c>
      <c r="G454" s="57"/>
      <c r="H454" s="57"/>
      <c r="I454" s="58"/>
      <c r="J454" s="59">
        <f t="shared" si="135"/>
        <v>742.8502282779862</v>
      </c>
      <c r="K454" s="60">
        <v>0.9336178972540682</v>
      </c>
      <c r="L454" s="75">
        <v>0.9883026756153833</v>
      </c>
      <c r="M454" s="63">
        <f t="shared" si="136"/>
        <v>47668.7</v>
      </c>
      <c r="N454" s="63">
        <f t="shared" si="137"/>
        <v>43235.5</v>
      </c>
      <c r="O454" s="62"/>
      <c r="P454" s="76"/>
      <c r="Q454" s="77"/>
      <c r="R454" s="76"/>
      <c r="S454" s="77"/>
      <c r="T454" s="64"/>
      <c r="U454" s="45">
        <f t="shared" si="138"/>
        <v>43235.5</v>
      </c>
      <c r="V454" s="65"/>
    </row>
    <row r="455" spans="1:22" ht="12.75" hidden="1">
      <c r="A455" s="52">
        <v>13</v>
      </c>
      <c r="B455" s="53">
        <v>11</v>
      </c>
      <c r="C455" s="54" t="s">
        <v>52</v>
      </c>
      <c r="D455" s="55" t="s">
        <v>838</v>
      </c>
      <c r="E455" s="56" t="s">
        <v>839</v>
      </c>
      <c r="F455" s="43">
        <v>74.681</v>
      </c>
      <c r="G455" s="57"/>
      <c r="H455" s="57"/>
      <c r="I455" s="58"/>
      <c r="J455" s="59">
        <f t="shared" si="135"/>
        <v>742.8502282779862</v>
      </c>
      <c r="K455" s="60">
        <v>0.9336178972540682</v>
      </c>
      <c r="L455" s="75">
        <v>0.9943800183257245</v>
      </c>
      <c r="M455" s="63">
        <f t="shared" si="136"/>
        <v>51648.6</v>
      </c>
      <c r="N455" s="63">
        <f t="shared" si="137"/>
        <v>46845.3</v>
      </c>
      <c r="O455" s="62">
        <v>1219.6</v>
      </c>
      <c r="P455" s="76"/>
      <c r="Q455" s="77"/>
      <c r="R455" s="76"/>
      <c r="S455" s="77"/>
      <c r="T455" s="64"/>
      <c r="U455" s="45">
        <f t="shared" si="138"/>
        <v>48064.9</v>
      </c>
      <c r="V455" s="65"/>
    </row>
    <row r="456" spans="1:22" ht="12.75" hidden="1">
      <c r="A456" s="52">
        <v>13</v>
      </c>
      <c r="B456" s="53">
        <v>12</v>
      </c>
      <c r="C456" s="54" t="s">
        <v>52</v>
      </c>
      <c r="D456" s="55" t="s">
        <v>840</v>
      </c>
      <c r="E456" s="56" t="s">
        <v>841</v>
      </c>
      <c r="F456" s="43">
        <v>59.105</v>
      </c>
      <c r="G456" s="57"/>
      <c r="H456" s="57"/>
      <c r="I456" s="58"/>
      <c r="J456" s="59">
        <f t="shared" si="135"/>
        <v>742.8502282779862</v>
      </c>
      <c r="K456" s="60">
        <v>0.9336178972540682</v>
      </c>
      <c r="L456" s="75">
        <v>1.0314485149805195</v>
      </c>
      <c r="M456" s="63">
        <f t="shared" si="136"/>
        <v>41636.1</v>
      </c>
      <c r="N456" s="63">
        <f t="shared" si="137"/>
        <v>37763.9</v>
      </c>
      <c r="O456" s="62"/>
      <c r="P456" s="76"/>
      <c r="Q456" s="77"/>
      <c r="R456" s="76"/>
      <c r="S456" s="77"/>
      <c r="T456" s="64"/>
      <c r="U456" s="45">
        <f t="shared" si="138"/>
        <v>37763.9</v>
      </c>
      <c r="V456" s="65"/>
    </row>
    <row r="457" spans="1:22" ht="12.75" hidden="1">
      <c r="A457" s="52">
        <v>13</v>
      </c>
      <c r="B457" s="53">
        <v>13</v>
      </c>
      <c r="C457" s="54" t="s">
        <v>52</v>
      </c>
      <c r="D457" s="55" t="s">
        <v>842</v>
      </c>
      <c r="E457" s="56" t="s">
        <v>843</v>
      </c>
      <c r="F457" s="43">
        <v>110.393</v>
      </c>
      <c r="G457" s="57"/>
      <c r="H457" s="57"/>
      <c r="I457" s="58"/>
      <c r="J457" s="59">
        <f t="shared" si="135"/>
        <v>742.8502282779862</v>
      </c>
      <c r="K457" s="60">
        <v>0.9336178972540682</v>
      </c>
      <c r="L457" s="75">
        <v>0.9513700002331298</v>
      </c>
      <c r="M457" s="63">
        <f t="shared" si="136"/>
        <v>74700.2</v>
      </c>
      <c r="N457" s="63">
        <f t="shared" si="137"/>
        <v>67753.1</v>
      </c>
      <c r="O457" s="62"/>
      <c r="P457" s="76"/>
      <c r="Q457" s="77"/>
      <c r="R457" s="76"/>
      <c r="S457" s="77"/>
      <c r="T457" s="64">
        <f>-793.3</f>
        <v>-793.3</v>
      </c>
      <c r="U457" s="45">
        <f t="shared" si="138"/>
        <v>66959.8</v>
      </c>
      <c r="V457" s="65"/>
    </row>
    <row r="458" spans="1:22" ht="12.75" hidden="1">
      <c r="A458" s="52">
        <v>13</v>
      </c>
      <c r="B458" s="53">
        <v>14</v>
      </c>
      <c r="C458" s="54" t="s">
        <v>52</v>
      </c>
      <c r="D458" s="55" t="s">
        <v>844</v>
      </c>
      <c r="E458" s="56" t="s">
        <v>845</v>
      </c>
      <c r="F458" s="43">
        <v>69.358</v>
      </c>
      <c r="G458" s="57"/>
      <c r="H458" s="57"/>
      <c r="I458" s="58"/>
      <c r="J458" s="59">
        <f t="shared" si="135"/>
        <v>742.8502282779862</v>
      </c>
      <c r="K458" s="60">
        <v>0.9336178972540682</v>
      </c>
      <c r="L458" s="75">
        <v>0.9854764410927463</v>
      </c>
      <c r="M458" s="63">
        <f t="shared" si="136"/>
        <v>47753.1</v>
      </c>
      <c r="N458" s="63">
        <f t="shared" si="137"/>
        <v>43312.1</v>
      </c>
      <c r="O458" s="62"/>
      <c r="P458" s="76"/>
      <c r="Q458" s="77"/>
      <c r="R458" s="76"/>
      <c r="S458" s="77"/>
      <c r="T458" s="64">
        <f>-200</f>
        <v>-200</v>
      </c>
      <c r="U458" s="45">
        <f t="shared" si="138"/>
        <v>43112.1</v>
      </c>
      <c r="V458" s="65"/>
    </row>
    <row r="459" spans="1:22" ht="12.75" hidden="1">
      <c r="A459" s="52">
        <v>13</v>
      </c>
      <c r="B459" s="53">
        <v>15</v>
      </c>
      <c r="C459" s="54" t="s">
        <v>52</v>
      </c>
      <c r="D459" s="55" t="s">
        <v>846</v>
      </c>
      <c r="E459" s="56" t="s">
        <v>847</v>
      </c>
      <c r="F459" s="43">
        <v>57.165</v>
      </c>
      <c r="G459" s="57"/>
      <c r="H459" s="57"/>
      <c r="I459" s="58"/>
      <c r="J459" s="59">
        <f t="shared" si="135"/>
        <v>742.8502282779862</v>
      </c>
      <c r="K459" s="60">
        <v>0.9336178972540682</v>
      </c>
      <c r="L459" s="75">
        <v>0.9773094013890089</v>
      </c>
      <c r="M459" s="63">
        <f t="shared" si="136"/>
        <v>39196.3</v>
      </c>
      <c r="N459" s="63">
        <f t="shared" si="137"/>
        <v>35551</v>
      </c>
      <c r="O459" s="62"/>
      <c r="P459" s="76"/>
      <c r="Q459" s="77"/>
      <c r="R459" s="76"/>
      <c r="S459" s="77"/>
      <c r="T459" s="64">
        <f>-15-75</f>
        <v>-90</v>
      </c>
      <c r="U459" s="45">
        <f t="shared" si="138"/>
        <v>35461</v>
      </c>
      <c r="V459" s="65"/>
    </row>
    <row r="460" spans="1:22" ht="12.75" hidden="1">
      <c r="A460" s="52">
        <v>13</v>
      </c>
      <c r="B460" s="53">
        <v>16</v>
      </c>
      <c r="C460" s="54" t="s">
        <v>52</v>
      </c>
      <c r="D460" s="55" t="s">
        <v>848</v>
      </c>
      <c r="E460" s="56" t="s">
        <v>849</v>
      </c>
      <c r="F460" s="43">
        <v>55.059</v>
      </c>
      <c r="G460" s="57"/>
      <c r="H460" s="57"/>
      <c r="I460" s="58"/>
      <c r="J460" s="59">
        <f t="shared" si="135"/>
        <v>742.8502282779862</v>
      </c>
      <c r="K460" s="60">
        <v>0.9336178972540682</v>
      </c>
      <c r="L460" s="75">
        <v>0.9850371106417442</v>
      </c>
      <c r="M460" s="63">
        <f t="shared" si="136"/>
        <v>37899.8</v>
      </c>
      <c r="N460" s="63">
        <f t="shared" si="137"/>
        <v>34375.1</v>
      </c>
      <c r="O460" s="62"/>
      <c r="P460" s="76"/>
      <c r="Q460" s="77"/>
      <c r="R460" s="76"/>
      <c r="S460" s="77"/>
      <c r="T460" s="64"/>
      <c r="U460" s="45">
        <f t="shared" si="138"/>
        <v>34375.1</v>
      </c>
      <c r="V460" s="65"/>
    </row>
    <row r="461" spans="1:22" ht="12.75" hidden="1">
      <c r="A461" s="52">
        <v>13</v>
      </c>
      <c r="B461" s="53">
        <v>17</v>
      </c>
      <c r="C461" s="54" t="s">
        <v>52</v>
      </c>
      <c r="D461" s="55" t="s">
        <v>850</v>
      </c>
      <c r="E461" s="56" t="s">
        <v>851</v>
      </c>
      <c r="F461" s="43">
        <v>57.152</v>
      </c>
      <c r="G461" s="57"/>
      <c r="H461" s="57"/>
      <c r="I461" s="58"/>
      <c r="J461" s="59">
        <f t="shared" si="135"/>
        <v>742.8502282779862</v>
      </c>
      <c r="K461" s="60">
        <v>0.9336178972540682</v>
      </c>
      <c r="L461" s="75">
        <v>0.9756047985822032</v>
      </c>
      <c r="M461" s="63">
        <f t="shared" si="136"/>
        <v>39153.6</v>
      </c>
      <c r="N461" s="63">
        <f t="shared" si="137"/>
        <v>35512.3</v>
      </c>
      <c r="O461" s="62"/>
      <c r="P461" s="76"/>
      <c r="Q461" s="77"/>
      <c r="R461" s="76"/>
      <c r="S461" s="77"/>
      <c r="T461" s="64"/>
      <c r="U461" s="45">
        <f t="shared" si="138"/>
        <v>35512.3</v>
      </c>
      <c r="V461" s="65"/>
    </row>
    <row r="462" spans="1:22" ht="12.75" hidden="1">
      <c r="A462" s="52">
        <v>13</v>
      </c>
      <c r="B462" s="53">
        <v>18</v>
      </c>
      <c r="C462" s="54" t="s">
        <v>52</v>
      </c>
      <c r="D462" s="55" t="s">
        <v>852</v>
      </c>
      <c r="E462" s="56" t="s">
        <v>853</v>
      </c>
      <c r="F462" s="43">
        <v>38.866</v>
      </c>
      <c r="G462" s="57"/>
      <c r="H462" s="57"/>
      <c r="I462" s="58"/>
      <c r="J462" s="59">
        <f t="shared" si="135"/>
        <v>742.8502282779862</v>
      </c>
      <c r="K462" s="60">
        <v>0.9336178972540682</v>
      </c>
      <c r="L462" s="75">
        <v>1.0321977114619207</v>
      </c>
      <c r="M462" s="63">
        <f t="shared" si="136"/>
        <v>27389</v>
      </c>
      <c r="N462" s="63">
        <f t="shared" si="137"/>
        <v>24841.8</v>
      </c>
      <c r="O462" s="62"/>
      <c r="P462" s="76"/>
      <c r="Q462" s="77"/>
      <c r="R462" s="76"/>
      <c r="S462" s="77"/>
      <c r="T462" s="64"/>
      <c r="U462" s="45">
        <f t="shared" si="138"/>
        <v>24841.8</v>
      </c>
      <c r="V462" s="65"/>
    </row>
    <row r="463" spans="1:22" ht="12.75" hidden="1">
      <c r="A463" s="52">
        <v>13</v>
      </c>
      <c r="B463" s="53">
        <v>19</v>
      </c>
      <c r="C463" s="54" t="s">
        <v>52</v>
      </c>
      <c r="D463" s="55" t="s">
        <v>854</v>
      </c>
      <c r="E463" s="56" t="s">
        <v>855</v>
      </c>
      <c r="F463" s="43">
        <v>116.6</v>
      </c>
      <c r="G463" s="57"/>
      <c r="H463" s="57"/>
      <c r="I463" s="58"/>
      <c r="J463" s="59">
        <f t="shared" si="135"/>
        <v>742.8502282779862</v>
      </c>
      <c r="K463" s="60">
        <v>0.9336178972540682</v>
      </c>
      <c r="L463" s="75">
        <v>0.9942553500010989</v>
      </c>
      <c r="M463" s="63">
        <f t="shared" si="136"/>
        <v>80634.3</v>
      </c>
      <c r="N463" s="63">
        <f t="shared" si="137"/>
        <v>73135.3</v>
      </c>
      <c r="O463" s="62"/>
      <c r="P463" s="76"/>
      <c r="Q463" s="77"/>
      <c r="R463" s="76"/>
      <c r="S463" s="77"/>
      <c r="T463" s="64">
        <f>-24.8-600-50</f>
        <v>-674.8</v>
      </c>
      <c r="U463" s="45">
        <f t="shared" si="138"/>
        <v>72460.5</v>
      </c>
      <c r="V463" s="65"/>
    </row>
    <row r="464" spans="1:22" ht="12.75" hidden="1">
      <c r="A464" s="52">
        <v>13</v>
      </c>
      <c r="B464" s="53">
        <v>20</v>
      </c>
      <c r="C464" s="54" t="s">
        <v>52</v>
      </c>
      <c r="D464" s="55" t="s">
        <v>856</v>
      </c>
      <c r="E464" s="56" t="s">
        <v>857</v>
      </c>
      <c r="F464" s="43">
        <v>47.786</v>
      </c>
      <c r="G464" s="57"/>
      <c r="H464" s="57"/>
      <c r="I464" s="58"/>
      <c r="J464" s="59">
        <f t="shared" si="135"/>
        <v>742.8502282779862</v>
      </c>
      <c r="K464" s="60">
        <v>0.9336178972540682</v>
      </c>
      <c r="L464" s="75">
        <v>0.9953225170092742</v>
      </c>
      <c r="M464" s="63">
        <f t="shared" si="136"/>
        <v>33063.9</v>
      </c>
      <c r="N464" s="63">
        <f t="shared" si="137"/>
        <v>29989</v>
      </c>
      <c r="O464" s="62"/>
      <c r="P464" s="76"/>
      <c r="Q464" s="77"/>
      <c r="R464" s="76"/>
      <c r="S464" s="77"/>
      <c r="T464" s="64"/>
      <c r="U464" s="45">
        <f t="shared" si="138"/>
        <v>29989</v>
      </c>
      <c r="V464" s="65"/>
    </row>
    <row r="465" spans="1:22" ht="12.75" hidden="1">
      <c r="A465" s="52">
        <v>13</v>
      </c>
      <c r="B465" s="53">
        <v>21</v>
      </c>
      <c r="C465" s="54" t="s">
        <v>52</v>
      </c>
      <c r="D465" s="55" t="s">
        <v>858</v>
      </c>
      <c r="E465" s="56" t="s">
        <v>859</v>
      </c>
      <c r="F465" s="43">
        <v>33.208</v>
      </c>
      <c r="G465" s="57"/>
      <c r="H465" s="57"/>
      <c r="I465" s="141"/>
      <c r="J465" s="59">
        <f t="shared" si="135"/>
        <v>742.8502282779862</v>
      </c>
      <c r="K465" s="60">
        <v>0.9336178972540682</v>
      </c>
      <c r="L465" s="75">
        <v>0.976368310168865</v>
      </c>
      <c r="M465" s="63">
        <f t="shared" si="136"/>
        <v>22758.9</v>
      </c>
      <c r="N465" s="63">
        <f t="shared" si="137"/>
        <v>20642.3</v>
      </c>
      <c r="O465" s="62"/>
      <c r="P465" s="76"/>
      <c r="Q465" s="77"/>
      <c r="R465" s="76"/>
      <c r="S465" s="77"/>
      <c r="T465" s="64"/>
      <c r="U465" s="45">
        <f t="shared" si="138"/>
        <v>20642.3</v>
      </c>
      <c r="V465" s="65"/>
    </row>
    <row r="466" spans="1:22" ht="12.75" hidden="1">
      <c r="A466" s="52">
        <v>13</v>
      </c>
      <c r="B466" s="53">
        <v>22</v>
      </c>
      <c r="C466" s="54" t="s">
        <v>52</v>
      </c>
      <c r="D466" s="55" t="s">
        <v>860</v>
      </c>
      <c r="E466" s="56" t="s">
        <v>861</v>
      </c>
      <c r="F466" s="43">
        <v>47.705</v>
      </c>
      <c r="G466" s="57"/>
      <c r="H466" s="57"/>
      <c r="I466" s="58"/>
      <c r="J466" s="59">
        <f t="shared" si="135"/>
        <v>742.8502282779862</v>
      </c>
      <c r="K466" s="60">
        <v>0.9336178972540682</v>
      </c>
      <c r="L466" s="75">
        <v>0.9781750129113697</v>
      </c>
      <c r="M466" s="63">
        <f t="shared" si="136"/>
        <v>32724.2</v>
      </c>
      <c r="N466" s="63">
        <f t="shared" si="137"/>
        <v>29680.8</v>
      </c>
      <c r="O466" s="62">
        <v>6466.3</v>
      </c>
      <c r="P466" s="76"/>
      <c r="Q466" s="77"/>
      <c r="R466" s="76"/>
      <c r="S466" s="77"/>
      <c r="T466" s="64"/>
      <c r="U466" s="45">
        <f t="shared" si="138"/>
        <v>36147.1</v>
      </c>
      <c r="V466" s="65"/>
    </row>
    <row r="467" spans="1:22" s="82" customFormat="1" ht="13.5" hidden="1">
      <c r="A467" s="52">
        <v>13</v>
      </c>
      <c r="B467" s="53">
        <v>23</v>
      </c>
      <c r="C467" s="54" t="s">
        <v>52</v>
      </c>
      <c r="D467" s="55" t="s">
        <v>862</v>
      </c>
      <c r="E467" s="56" t="s">
        <v>863</v>
      </c>
      <c r="F467" s="43">
        <v>92.801</v>
      </c>
      <c r="G467" s="57"/>
      <c r="H467" s="57"/>
      <c r="I467" s="58"/>
      <c r="J467" s="59">
        <f t="shared" si="135"/>
        <v>742.8502282779862</v>
      </c>
      <c r="K467" s="60">
        <v>0.9336178972540682</v>
      </c>
      <c r="L467" s="75">
        <v>0.9874025169265018</v>
      </c>
      <c r="M467" s="63">
        <f t="shared" si="136"/>
        <v>63955.7</v>
      </c>
      <c r="N467" s="63">
        <f t="shared" si="137"/>
        <v>58007.8</v>
      </c>
      <c r="O467" s="62"/>
      <c r="P467" s="76"/>
      <c r="Q467" s="77"/>
      <c r="R467" s="76"/>
      <c r="S467" s="77"/>
      <c r="T467" s="64"/>
      <c r="U467" s="45">
        <f t="shared" si="138"/>
        <v>58007.8</v>
      </c>
      <c r="V467" s="65"/>
    </row>
    <row r="468" spans="1:22" s="82" customFormat="1" ht="13.5" hidden="1">
      <c r="A468" s="52">
        <v>13</v>
      </c>
      <c r="B468" s="53">
        <v>24</v>
      </c>
      <c r="C468" s="54" t="s">
        <v>52</v>
      </c>
      <c r="D468" s="55" t="s">
        <v>864</v>
      </c>
      <c r="E468" s="56" t="s">
        <v>865</v>
      </c>
      <c r="F468" s="43">
        <v>69.619</v>
      </c>
      <c r="G468" s="57"/>
      <c r="H468" s="57"/>
      <c r="I468" s="58"/>
      <c r="J468" s="59">
        <f t="shared" si="135"/>
        <v>742.8502282779862</v>
      </c>
      <c r="K468" s="60">
        <v>0.9336178972540682</v>
      </c>
      <c r="L468" s="75">
        <v>0.9941629005022987</v>
      </c>
      <c r="M468" s="63">
        <f t="shared" si="136"/>
        <v>48142.5</v>
      </c>
      <c r="N468" s="63">
        <f t="shared" si="137"/>
        <v>43665.2</v>
      </c>
      <c r="O468" s="62">
        <v>6216.4</v>
      </c>
      <c r="P468" s="76"/>
      <c r="Q468" s="77"/>
      <c r="R468" s="76"/>
      <c r="S468" s="77"/>
      <c r="T468" s="64">
        <f>-100</f>
        <v>-100</v>
      </c>
      <c r="U468" s="45">
        <f t="shared" si="138"/>
        <v>49781.6</v>
      </c>
      <c r="V468" s="65"/>
    </row>
    <row r="469" spans="1:22" s="129" customFormat="1" ht="12.75" hidden="1">
      <c r="A469" s="52">
        <v>13</v>
      </c>
      <c r="B469" s="53">
        <v>25</v>
      </c>
      <c r="C469" s="54" t="s">
        <v>52</v>
      </c>
      <c r="D469" s="55" t="s">
        <v>866</v>
      </c>
      <c r="E469" s="56" t="s">
        <v>867</v>
      </c>
      <c r="F469" s="43">
        <v>57.841</v>
      </c>
      <c r="G469" s="57"/>
      <c r="H469" s="57"/>
      <c r="I469" s="58"/>
      <c r="J469" s="59">
        <f t="shared" si="135"/>
        <v>742.8502282779862</v>
      </c>
      <c r="K469" s="60">
        <v>0.9336178972540682</v>
      </c>
      <c r="L469" s="75">
        <v>0.9994217918104038</v>
      </c>
      <c r="M469" s="63">
        <f t="shared" si="136"/>
        <v>40103.3</v>
      </c>
      <c r="N469" s="63">
        <f t="shared" si="137"/>
        <v>36373.7</v>
      </c>
      <c r="O469" s="62">
        <v>25.7</v>
      </c>
      <c r="P469" s="76"/>
      <c r="Q469" s="77"/>
      <c r="R469" s="76"/>
      <c r="S469" s="77"/>
      <c r="T469" s="172">
        <f>-338.6+5833.7-9190.9+640.7-1155.7+1167.4</f>
        <v>-3043.4</v>
      </c>
      <c r="U469" s="45">
        <f t="shared" si="138"/>
        <v>33355.99999999999</v>
      </c>
      <c r="V469" s="65"/>
    </row>
    <row r="470" spans="1:22" s="91" customFormat="1" ht="12.75" hidden="1">
      <c r="A470" s="52">
        <v>13</v>
      </c>
      <c r="B470" s="53">
        <v>26</v>
      </c>
      <c r="C470" s="54" t="s">
        <v>52</v>
      </c>
      <c r="D470" s="55" t="s">
        <v>868</v>
      </c>
      <c r="E470" s="56" t="s">
        <v>869</v>
      </c>
      <c r="F470" s="43">
        <v>49.914</v>
      </c>
      <c r="G470" s="57"/>
      <c r="H470" s="57"/>
      <c r="I470" s="58"/>
      <c r="J470" s="59">
        <f t="shared" si="135"/>
        <v>742.8502282779862</v>
      </c>
      <c r="K470" s="60">
        <v>0.9336178972540682</v>
      </c>
      <c r="L470" s="75">
        <v>0.9695214088343496</v>
      </c>
      <c r="M470" s="63">
        <f t="shared" si="136"/>
        <v>34089.7</v>
      </c>
      <c r="N470" s="63">
        <f t="shared" si="137"/>
        <v>30919.4</v>
      </c>
      <c r="O470" s="62">
        <v>9135.5</v>
      </c>
      <c r="P470" s="76"/>
      <c r="Q470" s="77"/>
      <c r="R470" s="76"/>
      <c r="S470" s="77"/>
      <c r="T470" s="64"/>
      <c r="U470" s="45">
        <f t="shared" si="138"/>
        <v>40054.9</v>
      </c>
      <c r="V470" s="65"/>
    </row>
    <row r="471" spans="1:22" s="155" customFormat="1" ht="12.75" hidden="1">
      <c r="A471" s="52">
        <v>13</v>
      </c>
      <c r="B471" s="53">
        <v>27</v>
      </c>
      <c r="C471" s="54" t="s">
        <v>52</v>
      </c>
      <c r="D471" s="55" t="s">
        <v>870</v>
      </c>
      <c r="E471" s="56" t="s">
        <v>871</v>
      </c>
      <c r="F471" s="43">
        <v>124.839</v>
      </c>
      <c r="G471" s="57"/>
      <c r="H471" s="57"/>
      <c r="I471" s="58"/>
      <c r="J471" s="59">
        <f t="shared" si="135"/>
        <v>742.8502282779862</v>
      </c>
      <c r="K471" s="60">
        <v>0.9336178972540682</v>
      </c>
      <c r="L471" s="75">
        <v>0.9472436198069889</v>
      </c>
      <c r="M471" s="63">
        <f t="shared" si="136"/>
        <v>84296.8</v>
      </c>
      <c r="N471" s="63">
        <f t="shared" si="137"/>
        <v>76457.2</v>
      </c>
      <c r="O471" s="62"/>
      <c r="P471" s="76"/>
      <c r="Q471" s="77"/>
      <c r="R471" s="76"/>
      <c r="S471" s="77"/>
      <c r="T471" s="64">
        <f>24.8+15+384.1-842.5</f>
        <v>-418.59999999999997</v>
      </c>
      <c r="U471" s="45">
        <f t="shared" si="138"/>
        <v>76038.59999999999</v>
      </c>
      <c r="V471" s="65"/>
    </row>
    <row r="472" spans="1:22" s="154" customFormat="1" ht="25.5" hidden="1">
      <c r="A472" s="38">
        <v>13</v>
      </c>
      <c r="B472" s="39" t="s">
        <v>26</v>
      </c>
      <c r="C472" s="40" t="s">
        <v>111</v>
      </c>
      <c r="D472" s="148"/>
      <c r="E472" s="79" t="s">
        <v>112</v>
      </c>
      <c r="F472" s="43">
        <f>SUM(F473:F487)</f>
        <v>67.551</v>
      </c>
      <c r="G472" s="149">
        <f>SUM(G473:G487)</f>
        <v>0</v>
      </c>
      <c r="H472" s="149">
        <f>SUM(H473:H487)</f>
        <v>0</v>
      </c>
      <c r="I472" s="150"/>
      <c r="J472" s="151"/>
      <c r="K472" s="150"/>
      <c r="L472" s="152">
        <v>0</v>
      </c>
      <c r="M472" s="124">
        <f aca="true" t="shared" si="139" ref="M472:U472">SUM(M473:M487)</f>
        <v>46593.4</v>
      </c>
      <c r="N472" s="124">
        <f t="shared" si="139"/>
        <v>42260.200000000004</v>
      </c>
      <c r="O472" s="124">
        <f t="shared" si="139"/>
        <v>0</v>
      </c>
      <c r="P472" s="124">
        <f t="shared" si="139"/>
        <v>0</v>
      </c>
      <c r="Q472" s="124">
        <f t="shared" si="139"/>
        <v>0</v>
      </c>
      <c r="R472" s="124">
        <f t="shared" si="139"/>
        <v>0</v>
      </c>
      <c r="S472" s="124">
        <f t="shared" si="139"/>
        <v>0</v>
      </c>
      <c r="T472" s="124">
        <f t="shared" si="139"/>
        <v>-1596.3000000000002</v>
      </c>
      <c r="U472" s="124">
        <f t="shared" si="139"/>
        <v>40663.90000000001</v>
      </c>
      <c r="V472" s="125"/>
    </row>
    <row r="473" spans="1:22" ht="25.5" hidden="1">
      <c r="A473" s="52">
        <v>13</v>
      </c>
      <c r="B473" s="53">
        <v>28</v>
      </c>
      <c r="C473" s="54" t="s">
        <v>113</v>
      </c>
      <c r="D473" s="55" t="s">
        <v>872</v>
      </c>
      <c r="E473" s="56" t="s">
        <v>873</v>
      </c>
      <c r="F473" s="43">
        <v>4.149</v>
      </c>
      <c r="G473" s="57"/>
      <c r="H473" s="57"/>
      <c r="I473" s="58"/>
      <c r="J473" s="59">
        <f aca="true" t="shared" si="140" ref="J473:J487">+($F$7-$O$952-$Q$952-$P$952-$R$952-$S$952)/($F$952-$G$952*1-$H$952*0.5)*0.646*1.0268514</f>
        <v>742.8502282779862</v>
      </c>
      <c r="K473" s="60">
        <v>0.9336178972540682</v>
      </c>
      <c r="L473" s="75">
        <v>0.976368310168865</v>
      </c>
      <c r="M473" s="63">
        <f aca="true" t="shared" si="141" ref="M473:M487">ROUND(J473*(F473-G473-H473*I473)*K473*(0.5+0.5*L473),1)</f>
        <v>2843.5</v>
      </c>
      <c r="N473" s="63">
        <f aca="true" t="shared" si="142" ref="N473:N487">ROUND(M473*0.907,1)</f>
        <v>2579.1</v>
      </c>
      <c r="O473" s="62"/>
      <c r="P473" s="76"/>
      <c r="Q473" s="77"/>
      <c r="R473" s="76"/>
      <c r="S473" s="77"/>
      <c r="T473" s="64"/>
      <c r="U473" s="45">
        <f aca="true" t="shared" si="143" ref="U473:U487">+N473+O473+T473+R473+S473+Q473</f>
        <v>2579.1</v>
      </c>
      <c r="V473" s="65"/>
    </row>
    <row r="474" spans="1:22" ht="25.5" hidden="1">
      <c r="A474" s="52">
        <v>13</v>
      </c>
      <c r="B474" s="53">
        <v>29</v>
      </c>
      <c r="C474" s="54" t="s">
        <v>113</v>
      </c>
      <c r="D474" s="55" t="s">
        <v>874</v>
      </c>
      <c r="E474" s="56" t="s">
        <v>875</v>
      </c>
      <c r="F474" s="43">
        <v>5.583</v>
      </c>
      <c r="G474" s="57"/>
      <c r="H474" s="57"/>
      <c r="I474" s="58"/>
      <c r="J474" s="59">
        <f t="shared" si="140"/>
        <v>742.8502282779862</v>
      </c>
      <c r="K474" s="60">
        <v>0.9336178972540682</v>
      </c>
      <c r="L474" s="75">
        <v>0.976368310168865</v>
      </c>
      <c r="M474" s="63">
        <f t="shared" si="141"/>
        <v>3826.3</v>
      </c>
      <c r="N474" s="63">
        <f t="shared" si="142"/>
        <v>3470.5</v>
      </c>
      <c r="O474" s="62"/>
      <c r="P474" s="76"/>
      <c r="Q474" s="77"/>
      <c r="R474" s="76"/>
      <c r="S474" s="77"/>
      <c r="T474" s="64"/>
      <c r="U474" s="45">
        <f t="shared" si="143"/>
        <v>3470.5</v>
      </c>
      <c r="V474" s="65"/>
    </row>
    <row r="475" spans="1:22" ht="25.5" hidden="1">
      <c r="A475" s="52">
        <v>13</v>
      </c>
      <c r="B475" s="53">
        <v>30</v>
      </c>
      <c r="C475" s="54" t="s">
        <v>113</v>
      </c>
      <c r="D475" s="55" t="s">
        <v>876</v>
      </c>
      <c r="E475" s="56" t="s">
        <v>877</v>
      </c>
      <c r="F475" s="43">
        <v>2.877</v>
      </c>
      <c r="G475" s="57"/>
      <c r="H475" s="57"/>
      <c r="I475" s="58"/>
      <c r="J475" s="59">
        <f t="shared" si="140"/>
        <v>742.8502282779862</v>
      </c>
      <c r="K475" s="60">
        <v>0.9336178972540682</v>
      </c>
      <c r="L475" s="75">
        <v>0.976368310168865</v>
      </c>
      <c r="M475" s="63">
        <f t="shared" si="141"/>
        <v>1971.7</v>
      </c>
      <c r="N475" s="63">
        <f t="shared" si="142"/>
        <v>1788.3</v>
      </c>
      <c r="O475" s="62"/>
      <c r="P475" s="76"/>
      <c r="Q475" s="77"/>
      <c r="R475" s="76"/>
      <c r="S475" s="77"/>
      <c r="T475" s="64"/>
      <c r="U475" s="45">
        <f t="shared" si="143"/>
        <v>1788.3</v>
      </c>
      <c r="V475" s="65"/>
    </row>
    <row r="476" spans="1:22" ht="25.5" hidden="1">
      <c r="A476" s="52">
        <v>13</v>
      </c>
      <c r="B476" s="53">
        <v>31</v>
      </c>
      <c r="C476" s="54" t="s">
        <v>113</v>
      </c>
      <c r="D476" s="55" t="s">
        <v>878</v>
      </c>
      <c r="E476" s="56" t="s">
        <v>879</v>
      </c>
      <c r="F476" s="43">
        <v>5.292</v>
      </c>
      <c r="G476" s="57"/>
      <c r="H476" s="57"/>
      <c r="I476" s="58"/>
      <c r="J476" s="59">
        <f t="shared" si="140"/>
        <v>742.8502282779862</v>
      </c>
      <c r="K476" s="60">
        <v>0.9336178972540682</v>
      </c>
      <c r="L476" s="75">
        <v>0.976368310168865</v>
      </c>
      <c r="M476" s="63">
        <f t="shared" si="141"/>
        <v>3626.8</v>
      </c>
      <c r="N476" s="63">
        <f t="shared" si="142"/>
        <v>3289.5</v>
      </c>
      <c r="O476" s="62"/>
      <c r="P476" s="76"/>
      <c r="Q476" s="77"/>
      <c r="R476" s="76"/>
      <c r="S476" s="77"/>
      <c r="T476" s="64"/>
      <c r="U476" s="45">
        <f t="shared" si="143"/>
        <v>3289.5</v>
      </c>
      <c r="V476" s="65"/>
    </row>
    <row r="477" spans="1:22" ht="25.5" hidden="1">
      <c r="A477" s="52">
        <v>13</v>
      </c>
      <c r="B477" s="53">
        <v>32</v>
      </c>
      <c r="C477" s="54" t="s">
        <v>113</v>
      </c>
      <c r="D477" s="55" t="s">
        <v>880</v>
      </c>
      <c r="E477" s="90" t="s">
        <v>881</v>
      </c>
      <c r="F477" s="43">
        <v>6.423</v>
      </c>
      <c r="G477" s="57"/>
      <c r="H477" s="57"/>
      <c r="I477" s="58"/>
      <c r="J477" s="59">
        <f t="shared" si="140"/>
        <v>742.8502282779862</v>
      </c>
      <c r="K477" s="60">
        <v>0.9336178972540682</v>
      </c>
      <c r="L477" s="75">
        <v>1.0314485149805195</v>
      </c>
      <c r="M477" s="63">
        <f t="shared" si="141"/>
        <v>4524.6</v>
      </c>
      <c r="N477" s="63">
        <f t="shared" si="142"/>
        <v>4103.8</v>
      </c>
      <c r="O477" s="62"/>
      <c r="P477" s="76"/>
      <c r="Q477" s="77"/>
      <c r="R477" s="76"/>
      <c r="S477" s="77"/>
      <c r="T477" s="64"/>
      <c r="U477" s="45">
        <f t="shared" si="143"/>
        <v>4103.8</v>
      </c>
      <c r="V477" s="65"/>
    </row>
    <row r="478" spans="1:22" ht="25.5" hidden="1">
      <c r="A478" s="52">
        <v>13</v>
      </c>
      <c r="B478" s="53">
        <v>33</v>
      </c>
      <c r="C478" s="54" t="s">
        <v>113</v>
      </c>
      <c r="D478" s="55" t="s">
        <v>882</v>
      </c>
      <c r="E478" s="56" t="s">
        <v>883</v>
      </c>
      <c r="F478" s="43">
        <v>4.107</v>
      </c>
      <c r="G478" s="57"/>
      <c r="H478" s="57"/>
      <c r="I478" s="58"/>
      <c r="J478" s="59">
        <f t="shared" si="140"/>
        <v>742.8502282779862</v>
      </c>
      <c r="K478" s="60">
        <v>0.9336178972540682</v>
      </c>
      <c r="L478" s="75">
        <v>0.9994217918104038</v>
      </c>
      <c r="M478" s="63">
        <f t="shared" si="141"/>
        <v>2847.5</v>
      </c>
      <c r="N478" s="63">
        <f t="shared" si="142"/>
        <v>2582.7</v>
      </c>
      <c r="O478" s="62"/>
      <c r="P478" s="76"/>
      <c r="Q478" s="77"/>
      <c r="R478" s="76"/>
      <c r="S478" s="77"/>
      <c r="T478" s="172">
        <f>-428.9-1167.4</f>
        <v>-1596.3000000000002</v>
      </c>
      <c r="U478" s="45">
        <f t="shared" si="143"/>
        <v>986.3999999999996</v>
      </c>
      <c r="V478" s="65"/>
    </row>
    <row r="479" spans="1:22" ht="25.5" hidden="1">
      <c r="A479" s="52">
        <v>13</v>
      </c>
      <c r="B479" s="53">
        <v>34</v>
      </c>
      <c r="C479" s="54" t="s">
        <v>113</v>
      </c>
      <c r="D479" s="55" t="s">
        <v>884</v>
      </c>
      <c r="E479" s="56" t="s">
        <v>885</v>
      </c>
      <c r="F479" s="43">
        <v>3</v>
      </c>
      <c r="G479" s="57"/>
      <c r="H479" s="57"/>
      <c r="I479" s="58"/>
      <c r="J479" s="59">
        <f t="shared" si="140"/>
        <v>742.8502282779862</v>
      </c>
      <c r="K479" s="60">
        <v>0.9336178972540682</v>
      </c>
      <c r="L479" s="75">
        <v>0.976368310168865</v>
      </c>
      <c r="M479" s="63">
        <f t="shared" si="141"/>
        <v>2056</v>
      </c>
      <c r="N479" s="63">
        <f t="shared" si="142"/>
        <v>1864.8</v>
      </c>
      <c r="O479" s="62"/>
      <c r="P479" s="76"/>
      <c r="Q479" s="77"/>
      <c r="R479" s="76"/>
      <c r="S479" s="77"/>
      <c r="T479" s="64"/>
      <c r="U479" s="45">
        <f t="shared" si="143"/>
        <v>1864.8</v>
      </c>
      <c r="V479" s="65"/>
    </row>
    <row r="480" spans="1:22" s="82" customFormat="1" ht="25.5" hidden="1">
      <c r="A480" s="52">
        <v>13</v>
      </c>
      <c r="B480" s="53">
        <v>35</v>
      </c>
      <c r="C480" s="54" t="s">
        <v>113</v>
      </c>
      <c r="D480" s="55" t="s">
        <v>886</v>
      </c>
      <c r="E480" s="90" t="s">
        <v>887</v>
      </c>
      <c r="F480" s="43">
        <v>2.626</v>
      </c>
      <c r="G480" s="57"/>
      <c r="H480" s="57"/>
      <c r="I480" s="58"/>
      <c r="J480" s="59">
        <f t="shared" si="140"/>
        <v>742.8502282779862</v>
      </c>
      <c r="K480" s="60">
        <v>0.9336178972540682</v>
      </c>
      <c r="L480" s="75">
        <v>0.9921560210930819</v>
      </c>
      <c r="M480" s="63">
        <f t="shared" si="141"/>
        <v>1814.1</v>
      </c>
      <c r="N480" s="63">
        <f t="shared" si="142"/>
        <v>1645.4</v>
      </c>
      <c r="O480" s="62"/>
      <c r="P480" s="76"/>
      <c r="Q480" s="77"/>
      <c r="R480" s="76"/>
      <c r="S480" s="77"/>
      <c r="T480" s="64"/>
      <c r="U480" s="45">
        <f t="shared" si="143"/>
        <v>1645.4</v>
      </c>
      <c r="V480" s="65"/>
    </row>
    <row r="481" spans="1:22" s="82" customFormat="1" ht="26.25" hidden="1">
      <c r="A481" s="145">
        <v>13</v>
      </c>
      <c r="B481" s="87">
        <v>36</v>
      </c>
      <c r="C481" s="88" t="s">
        <v>113</v>
      </c>
      <c r="D481" s="169" t="s">
        <v>888</v>
      </c>
      <c r="E481" s="56" t="s">
        <v>889</v>
      </c>
      <c r="F481" s="43">
        <v>3.649</v>
      </c>
      <c r="G481" s="57"/>
      <c r="H481" s="57"/>
      <c r="I481" s="58"/>
      <c r="J481" s="59">
        <f t="shared" si="140"/>
        <v>742.8502282779862</v>
      </c>
      <c r="K481" s="60">
        <v>0.9336178972540682</v>
      </c>
      <c r="L481" s="75">
        <v>0.976368310168865</v>
      </c>
      <c r="M481" s="63">
        <f t="shared" si="141"/>
        <v>2500.8</v>
      </c>
      <c r="N481" s="63">
        <f t="shared" si="142"/>
        <v>2268.2</v>
      </c>
      <c r="O481" s="62"/>
      <c r="P481" s="76"/>
      <c r="Q481" s="77"/>
      <c r="R481" s="76"/>
      <c r="S481" s="77"/>
      <c r="T481" s="64"/>
      <c r="U481" s="45">
        <f t="shared" si="143"/>
        <v>2268.2</v>
      </c>
      <c r="V481" s="65"/>
    </row>
    <row r="482" spans="1:22" s="82" customFormat="1" ht="26.25" hidden="1">
      <c r="A482" s="145">
        <v>13</v>
      </c>
      <c r="B482" s="87">
        <v>37</v>
      </c>
      <c r="C482" s="88" t="s">
        <v>113</v>
      </c>
      <c r="D482" s="169" t="s">
        <v>890</v>
      </c>
      <c r="E482" s="56" t="s">
        <v>891</v>
      </c>
      <c r="F482" s="43">
        <v>2.413</v>
      </c>
      <c r="G482" s="57"/>
      <c r="H482" s="57"/>
      <c r="I482" s="58"/>
      <c r="J482" s="59">
        <f t="shared" si="140"/>
        <v>742.8502282779862</v>
      </c>
      <c r="K482" s="60">
        <v>0.9336178972540682</v>
      </c>
      <c r="L482" s="75">
        <v>0.9941629005022987</v>
      </c>
      <c r="M482" s="63">
        <f t="shared" si="141"/>
        <v>1668.6</v>
      </c>
      <c r="N482" s="63">
        <f t="shared" si="142"/>
        <v>1513.4</v>
      </c>
      <c r="O482" s="62"/>
      <c r="P482" s="76"/>
      <c r="Q482" s="77"/>
      <c r="R482" s="76"/>
      <c r="S482" s="77"/>
      <c r="T482" s="64"/>
      <c r="U482" s="45">
        <f t="shared" si="143"/>
        <v>1513.4</v>
      </c>
      <c r="V482" s="65"/>
    </row>
    <row r="483" spans="1:22" s="129" customFormat="1" ht="25.5" hidden="1">
      <c r="A483" s="52">
        <v>13</v>
      </c>
      <c r="B483" s="53">
        <v>38</v>
      </c>
      <c r="C483" s="54" t="s">
        <v>113</v>
      </c>
      <c r="D483" s="55" t="s">
        <v>892</v>
      </c>
      <c r="E483" s="56" t="s">
        <v>893</v>
      </c>
      <c r="F483" s="43">
        <v>7.362</v>
      </c>
      <c r="G483" s="57"/>
      <c r="H483" s="57"/>
      <c r="I483" s="58"/>
      <c r="J483" s="59">
        <f t="shared" si="140"/>
        <v>742.8502282779862</v>
      </c>
      <c r="K483" s="60">
        <v>0.9336178972540682</v>
      </c>
      <c r="L483" s="75">
        <v>0.976368310168865</v>
      </c>
      <c r="M483" s="63">
        <f t="shared" si="141"/>
        <v>5045.5</v>
      </c>
      <c r="N483" s="63">
        <f t="shared" si="142"/>
        <v>4576.3</v>
      </c>
      <c r="O483" s="62"/>
      <c r="P483" s="76"/>
      <c r="Q483" s="77"/>
      <c r="R483" s="76"/>
      <c r="S483" s="77"/>
      <c r="T483" s="64"/>
      <c r="U483" s="45">
        <f t="shared" si="143"/>
        <v>4576.3</v>
      </c>
      <c r="V483" s="65"/>
    </row>
    <row r="484" spans="1:22" ht="25.5" hidden="1">
      <c r="A484" s="52">
        <v>13</v>
      </c>
      <c r="B484" s="53">
        <v>39</v>
      </c>
      <c r="C484" s="54" t="s">
        <v>113</v>
      </c>
      <c r="D484" s="55" t="s">
        <v>894</v>
      </c>
      <c r="E484" s="56" t="s">
        <v>895</v>
      </c>
      <c r="F484" s="43">
        <v>6.013</v>
      </c>
      <c r="G484" s="57"/>
      <c r="H484" s="57"/>
      <c r="I484" s="58"/>
      <c r="J484" s="59">
        <f t="shared" si="140"/>
        <v>742.8502282779862</v>
      </c>
      <c r="K484" s="60">
        <v>0.9336178972540682</v>
      </c>
      <c r="L484" s="75">
        <v>0.9941629005022987</v>
      </c>
      <c r="M484" s="63">
        <f t="shared" si="141"/>
        <v>4158.1</v>
      </c>
      <c r="N484" s="63">
        <f t="shared" si="142"/>
        <v>3771.4</v>
      </c>
      <c r="O484" s="62"/>
      <c r="P484" s="76"/>
      <c r="Q484" s="77"/>
      <c r="R484" s="76"/>
      <c r="S484" s="77"/>
      <c r="T484" s="64"/>
      <c r="U484" s="45">
        <f t="shared" si="143"/>
        <v>3771.4</v>
      </c>
      <c r="V484" s="65"/>
    </row>
    <row r="485" spans="1:22" ht="25.5" hidden="1">
      <c r="A485" s="52">
        <v>13</v>
      </c>
      <c r="B485" s="53">
        <v>40</v>
      </c>
      <c r="C485" s="54" t="s">
        <v>113</v>
      </c>
      <c r="D485" s="55" t="s">
        <v>896</v>
      </c>
      <c r="E485" s="56" t="s">
        <v>897</v>
      </c>
      <c r="F485" s="43">
        <v>2.706</v>
      </c>
      <c r="G485" s="57"/>
      <c r="H485" s="57"/>
      <c r="I485" s="58"/>
      <c r="J485" s="59">
        <f t="shared" si="140"/>
        <v>742.8502282779862</v>
      </c>
      <c r="K485" s="60">
        <v>0.9336178972540682</v>
      </c>
      <c r="L485" s="75">
        <v>1.0314485149805195</v>
      </c>
      <c r="M485" s="63">
        <f t="shared" si="141"/>
        <v>1906.2</v>
      </c>
      <c r="N485" s="63">
        <f t="shared" si="142"/>
        <v>1728.9</v>
      </c>
      <c r="O485" s="62"/>
      <c r="P485" s="76"/>
      <c r="Q485" s="77"/>
      <c r="R485" s="76"/>
      <c r="S485" s="77"/>
      <c r="T485" s="64"/>
      <c r="U485" s="45">
        <f t="shared" si="143"/>
        <v>1728.9</v>
      </c>
      <c r="V485" s="65"/>
    </row>
    <row r="486" spans="1:22" ht="25.5" hidden="1">
      <c r="A486" s="52">
        <v>13</v>
      </c>
      <c r="B486" s="53">
        <v>41</v>
      </c>
      <c r="C486" s="54" t="s">
        <v>113</v>
      </c>
      <c r="D486" s="55" t="s">
        <v>898</v>
      </c>
      <c r="E486" s="56" t="s">
        <v>899</v>
      </c>
      <c r="F486" s="43">
        <v>8.08</v>
      </c>
      <c r="G486" s="57"/>
      <c r="H486" s="57"/>
      <c r="I486" s="58"/>
      <c r="J486" s="59">
        <f t="shared" si="140"/>
        <v>742.8502282779862</v>
      </c>
      <c r="K486" s="60">
        <v>0.9336178972540682</v>
      </c>
      <c r="L486" s="75">
        <v>0.9850371106417442</v>
      </c>
      <c r="M486" s="63">
        <f t="shared" si="141"/>
        <v>5561.9</v>
      </c>
      <c r="N486" s="63">
        <f t="shared" si="142"/>
        <v>5044.6</v>
      </c>
      <c r="O486" s="62"/>
      <c r="P486" s="76"/>
      <c r="Q486" s="77"/>
      <c r="R486" s="76"/>
      <c r="S486" s="77"/>
      <c r="T486" s="64"/>
      <c r="U486" s="45">
        <f t="shared" si="143"/>
        <v>5044.6</v>
      </c>
      <c r="V486" s="65"/>
    </row>
    <row r="487" spans="1:22" ht="25.5" hidden="1">
      <c r="A487" s="52">
        <v>13</v>
      </c>
      <c r="B487" s="53">
        <v>42</v>
      </c>
      <c r="C487" s="54" t="s">
        <v>113</v>
      </c>
      <c r="D487" s="164" t="s">
        <v>900</v>
      </c>
      <c r="E487" s="56" t="s">
        <v>901</v>
      </c>
      <c r="F487" s="43">
        <v>3.271</v>
      </c>
      <c r="G487" s="57"/>
      <c r="H487" s="57"/>
      <c r="I487" s="58"/>
      <c r="J487" s="59">
        <f t="shared" si="140"/>
        <v>742.8502282779862</v>
      </c>
      <c r="K487" s="60">
        <v>0.9336178972540682</v>
      </c>
      <c r="L487" s="75">
        <v>0.976368310168865</v>
      </c>
      <c r="M487" s="63">
        <f t="shared" si="141"/>
        <v>2241.8</v>
      </c>
      <c r="N487" s="63">
        <f t="shared" si="142"/>
        <v>2033.3</v>
      </c>
      <c r="O487" s="62"/>
      <c r="P487" s="76"/>
      <c r="Q487" s="77"/>
      <c r="R487" s="76"/>
      <c r="S487" s="77"/>
      <c r="T487" s="64"/>
      <c r="U487" s="45">
        <f t="shared" si="143"/>
        <v>2033.3</v>
      </c>
      <c r="V487" s="65"/>
    </row>
    <row r="488" spans="1:22" s="181" customFormat="1" ht="25.5" hidden="1">
      <c r="A488" s="173">
        <v>14</v>
      </c>
      <c r="B488" s="174" t="s">
        <v>26</v>
      </c>
      <c r="C488" s="175" t="s">
        <v>27</v>
      </c>
      <c r="D488" s="176"/>
      <c r="E488" s="177" t="s">
        <v>902</v>
      </c>
      <c r="F488" s="136">
        <f>F489+F490+F496+F516</f>
        <v>1158.207</v>
      </c>
      <c r="G488" s="178">
        <f>+G489+G490+G496+G516</f>
        <v>0</v>
      </c>
      <c r="H488" s="178">
        <f>+H489+H490+H496+H516</f>
        <v>0</v>
      </c>
      <c r="I488" s="179"/>
      <c r="J488" s="50"/>
      <c r="K488" s="48"/>
      <c r="L488" s="48">
        <v>1.0040998075152583</v>
      </c>
      <c r="M488" s="49">
        <f aca="true" t="shared" si="144" ref="M488:U488">+M489+M490+M496+M516</f>
        <v>1306081.7</v>
      </c>
      <c r="N488" s="49">
        <f t="shared" si="144"/>
        <v>1306081.7</v>
      </c>
      <c r="O488" s="49">
        <f t="shared" si="144"/>
        <v>0</v>
      </c>
      <c r="P488" s="49">
        <f t="shared" si="144"/>
        <v>123.2</v>
      </c>
      <c r="Q488" s="49">
        <f t="shared" si="144"/>
        <v>15994.7</v>
      </c>
      <c r="R488" s="49">
        <f t="shared" si="144"/>
        <v>32485.3</v>
      </c>
      <c r="S488" s="49">
        <f t="shared" si="144"/>
        <v>936.4</v>
      </c>
      <c r="T488" s="49">
        <f t="shared" si="144"/>
        <v>0</v>
      </c>
      <c r="U488" s="49">
        <f t="shared" si="144"/>
        <v>1355621.2999999998</v>
      </c>
      <c r="V488" s="180"/>
    </row>
    <row r="489" spans="1:22" ht="12.75" hidden="1">
      <c r="A489" s="52">
        <v>14</v>
      </c>
      <c r="B489" s="53" t="s">
        <v>26</v>
      </c>
      <c r="C489" s="54" t="s">
        <v>29</v>
      </c>
      <c r="D489" s="55" t="s">
        <v>903</v>
      </c>
      <c r="E489" s="56" t="s">
        <v>31</v>
      </c>
      <c r="F489" s="43">
        <v>0</v>
      </c>
      <c r="G489" s="128"/>
      <c r="H489" s="128"/>
      <c r="I489" s="58"/>
      <c r="J489" s="59">
        <f>+($F$7-$O$952-$Q$952-$P$952-R$952-$S$952)/$F$952*0.354*0.951</f>
        <v>376.76602120660414</v>
      </c>
      <c r="K489" s="60">
        <v>0</v>
      </c>
      <c r="L489" s="48">
        <v>1.0040998075152583</v>
      </c>
      <c r="M489" s="49">
        <f>ROUND(J489*(F490+F496+F516)*(0.5+0.5*L489),1)</f>
        <v>437267.6</v>
      </c>
      <c r="N489" s="49">
        <f>M489+ROUND(SUM(M491:M495)*0.117+SUM(M497:M515)*0.093+SUM(M517)*0.093,1)+0.1</f>
        <v>530475.1</v>
      </c>
      <c r="O489" s="61"/>
      <c r="P489" s="62">
        <v>123.2</v>
      </c>
      <c r="Q489" s="63">
        <v>15994.7</v>
      </c>
      <c r="R489" s="62">
        <v>32485.3</v>
      </c>
      <c r="S489" s="63">
        <v>936.4</v>
      </c>
      <c r="T489" s="64"/>
      <c r="U489" s="45">
        <f>N489+O489+P489+Q489+R489+S489+T489</f>
        <v>580014.7</v>
      </c>
      <c r="V489" s="65"/>
    </row>
    <row r="490" spans="1:22" ht="13.5" hidden="1">
      <c r="A490" s="38">
        <v>14</v>
      </c>
      <c r="B490" s="39" t="s">
        <v>26</v>
      </c>
      <c r="C490" s="40" t="s">
        <v>33</v>
      </c>
      <c r="D490" s="55"/>
      <c r="E490" s="79" t="s">
        <v>34</v>
      </c>
      <c r="F490" s="43">
        <f>SUM(F491:F495)</f>
        <v>650.4440000000001</v>
      </c>
      <c r="G490" s="67">
        <f>SUM(G491:G495)</f>
        <v>0</v>
      </c>
      <c r="H490" s="68">
        <f>SUM(H491:H495)</f>
        <v>0</v>
      </c>
      <c r="I490" s="69"/>
      <c r="J490" s="59"/>
      <c r="K490" s="70"/>
      <c r="L490" s="71">
        <v>1.0087730864435644</v>
      </c>
      <c r="M490" s="72">
        <f aca="true" t="shared" si="145" ref="M490:U490">SUM(M491:M495)</f>
        <v>516985.5</v>
      </c>
      <c r="N490" s="72">
        <f t="shared" si="145"/>
        <v>456498.2</v>
      </c>
      <c r="O490" s="72">
        <f t="shared" si="145"/>
        <v>0</v>
      </c>
      <c r="P490" s="72">
        <f t="shared" si="145"/>
        <v>0</v>
      </c>
      <c r="Q490" s="72">
        <f t="shared" si="145"/>
        <v>0</v>
      </c>
      <c r="R490" s="72">
        <f t="shared" si="145"/>
        <v>0</v>
      </c>
      <c r="S490" s="72">
        <f t="shared" si="145"/>
        <v>0</v>
      </c>
      <c r="T490" s="72">
        <f t="shared" si="145"/>
        <v>-10308</v>
      </c>
      <c r="U490" s="72">
        <f t="shared" si="145"/>
        <v>446190.2</v>
      </c>
      <c r="V490" s="73"/>
    </row>
    <row r="491" spans="1:22" ht="12.75" hidden="1">
      <c r="A491" s="52">
        <v>14</v>
      </c>
      <c r="B491" s="53" t="s">
        <v>35</v>
      </c>
      <c r="C491" s="54" t="s">
        <v>36</v>
      </c>
      <c r="D491" s="55" t="s">
        <v>904</v>
      </c>
      <c r="E491" s="74" t="s">
        <v>905</v>
      </c>
      <c r="F491" s="43">
        <v>493.583</v>
      </c>
      <c r="G491" s="57"/>
      <c r="H491" s="57"/>
      <c r="I491" s="58"/>
      <c r="J491" s="59">
        <f>+($F$7-$O$952-$Q$952-$P$952-$R$952-$S$952)/($F$952-$G$952*1-$H$952*0.5)*0.646*1.0268514</f>
        <v>742.8502282779862</v>
      </c>
      <c r="K491" s="60">
        <v>1.065228053001168</v>
      </c>
      <c r="L491" s="75">
        <v>1.011069565428988</v>
      </c>
      <c r="M491" s="63">
        <f>ROUND(J491*(F491-G491-H491*I491)*K491*(0.5+0.5*L491),1)</f>
        <v>392736.4</v>
      </c>
      <c r="N491" s="63">
        <f>ROUND(M491*0.883,1)</f>
        <v>346786.2</v>
      </c>
      <c r="O491" s="62"/>
      <c r="P491" s="76"/>
      <c r="Q491" s="77"/>
      <c r="R491" s="76"/>
      <c r="S491" s="77"/>
      <c r="T491" s="64"/>
      <c r="U491" s="45">
        <f>+N491+O491+T491+R491+S491+Q491</f>
        <v>346786.2</v>
      </c>
      <c r="V491" s="65"/>
    </row>
    <row r="492" spans="1:22" ht="12.75" hidden="1">
      <c r="A492" s="52">
        <v>14</v>
      </c>
      <c r="B492" s="53" t="s">
        <v>32</v>
      </c>
      <c r="C492" s="54" t="s">
        <v>36</v>
      </c>
      <c r="D492" s="55" t="s">
        <v>906</v>
      </c>
      <c r="E492" s="78" t="s">
        <v>907</v>
      </c>
      <c r="F492" s="43">
        <v>35.45</v>
      </c>
      <c r="G492" s="57"/>
      <c r="H492" s="57"/>
      <c r="I492" s="58"/>
      <c r="J492" s="59">
        <f>+($F$7-$O$952-$Q$952-$P$952-$R$952-$S$952)/($F$952-$G$952*1-$H$952*0.5)*0.646*1.0268514</f>
        <v>742.8502282779862</v>
      </c>
      <c r="K492" s="60">
        <v>1.065228053001168</v>
      </c>
      <c r="L492" s="75">
        <v>1.0162837050966047</v>
      </c>
      <c r="M492" s="63">
        <f>ROUND(J492*(F492-G492-H492*I492)*K492*(0.5+0.5*L492),1)</f>
        <v>28280.2</v>
      </c>
      <c r="N492" s="63">
        <f>ROUND(M492*0.883,1)</f>
        <v>24971.4</v>
      </c>
      <c r="O492" s="62"/>
      <c r="P492" s="76"/>
      <c r="Q492" s="77"/>
      <c r="R492" s="76"/>
      <c r="S492" s="77"/>
      <c r="T492" s="64"/>
      <c r="U492" s="45">
        <f>+N492+O492+T492+R492+S492+Q492</f>
        <v>24971.4</v>
      </c>
      <c r="V492" s="65"/>
    </row>
    <row r="493" spans="1:22" ht="12.75" hidden="1">
      <c r="A493" s="52">
        <v>14</v>
      </c>
      <c r="B493" s="53" t="s">
        <v>118</v>
      </c>
      <c r="C493" s="54" t="s">
        <v>36</v>
      </c>
      <c r="D493" s="55" t="s">
        <v>908</v>
      </c>
      <c r="E493" s="78" t="s">
        <v>909</v>
      </c>
      <c r="F493" s="43">
        <v>14.513</v>
      </c>
      <c r="G493" s="57"/>
      <c r="H493" s="57"/>
      <c r="I493" s="58"/>
      <c r="J493" s="59">
        <f>+($F$7-$O$952-$Q$952-$P$952-$R$952-$S$952)/($F$952-$G$952*1-$H$952*0.5)*0.646*1.0268514</f>
        <v>742.8502282779862</v>
      </c>
      <c r="K493" s="60">
        <v>1.065228053001168</v>
      </c>
      <c r="L493" s="75">
        <v>1.0330158034356023</v>
      </c>
      <c r="M493" s="63">
        <f>ROUND(J493*(F493-G493-H493*I493)*K493*(0.5+0.5*L493),1)</f>
        <v>11673.8</v>
      </c>
      <c r="N493" s="63">
        <f>ROUND(M493*0.883,1)</f>
        <v>10308</v>
      </c>
      <c r="O493" s="62"/>
      <c r="P493" s="76"/>
      <c r="Q493" s="77"/>
      <c r="R493" s="76"/>
      <c r="S493" s="77"/>
      <c r="T493" s="64">
        <f>-ROUND(N493,1)</f>
        <v>-10308</v>
      </c>
      <c r="U493" s="45">
        <f>+N493+O493+T493+R493+S493+Q493</f>
        <v>0</v>
      </c>
      <c r="V493" s="65"/>
    </row>
    <row r="494" spans="1:22" ht="12.75" hidden="1">
      <c r="A494" s="52">
        <v>14</v>
      </c>
      <c r="B494" s="53" t="s">
        <v>127</v>
      </c>
      <c r="C494" s="54" t="s">
        <v>36</v>
      </c>
      <c r="D494" s="55" t="s">
        <v>910</v>
      </c>
      <c r="E494" s="78" t="s">
        <v>763</v>
      </c>
      <c r="F494" s="43">
        <v>66.606</v>
      </c>
      <c r="G494" s="57"/>
      <c r="H494" s="57"/>
      <c r="I494" s="58"/>
      <c r="J494" s="59">
        <f>+($F$7-$O$952-$Q$952-$P$952-$R$952-$S$952)/($F$952-$G$952*1-$H$952*0.5)*0.646*1.0268514</f>
        <v>742.8502282779862</v>
      </c>
      <c r="K494" s="60">
        <v>1.065228053001168</v>
      </c>
      <c r="L494" s="75">
        <v>1.0159611732496399</v>
      </c>
      <c r="M494" s="63">
        <f>ROUND(J494*(F494-G494-H494*I494)*K494*(0.5+0.5*L494),1)</f>
        <v>53126.3</v>
      </c>
      <c r="N494" s="63">
        <f>ROUND(M494*0.883,1)</f>
        <v>46910.5</v>
      </c>
      <c r="O494" s="62"/>
      <c r="P494" s="76"/>
      <c r="Q494" s="77"/>
      <c r="R494" s="76"/>
      <c r="S494" s="77"/>
      <c r="T494" s="64"/>
      <c r="U494" s="45">
        <f>+N494+O494+T494+R494+S494+Q494</f>
        <v>46910.5</v>
      </c>
      <c r="V494" s="65"/>
    </row>
    <row r="495" spans="1:22" ht="12.75" hidden="1">
      <c r="A495" s="52">
        <v>14</v>
      </c>
      <c r="B495" s="53" t="s">
        <v>51</v>
      </c>
      <c r="C495" s="54" t="s">
        <v>36</v>
      </c>
      <c r="D495" s="55" t="s">
        <v>911</v>
      </c>
      <c r="E495" s="78" t="s">
        <v>912</v>
      </c>
      <c r="F495" s="43">
        <v>40.292</v>
      </c>
      <c r="G495" s="57"/>
      <c r="H495" s="57"/>
      <c r="I495" s="58"/>
      <c r="J495" s="59">
        <f>+($F$7-$O$952-$Q$952-$P$952-$R$952-$S$952)/($F$952-$G$952*1-$H$952*0.5)*0.646*1.0268514</f>
        <v>742.8502282779862</v>
      </c>
      <c r="K495" s="60">
        <v>1.065228053001168</v>
      </c>
      <c r="L495" s="75">
        <v>0.955182469126397</v>
      </c>
      <c r="M495" s="63">
        <f>ROUND(J495*(F495-G495-H495*I495)*K495*(0.5+0.5*L495),1)</f>
        <v>31168.8</v>
      </c>
      <c r="N495" s="63">
        <f>ROUND(M495*0.883,1)</f>
        <v>27522.1</v>
      </c>
      <c r="O495" s="62"/>
      <c r="P495" s="76"/>
      <c r="Q495" s="77"/>
      <c r="R495" s="76"/>
      <c r="S495" s="77"/>
      <c r="T495" s="64"/>
      <c r="U495" s="45">
        <f>+N495+O495+T495+R495+S495+Q495</f>
        <v>27522.1</v>
      </c>
      <c r="V495" s="65"/>
    </row>
    <row r="496" spans="1:22" ht="33" customHeight="1" hidden="1">
      <c r="A496" s="38">
        <v>14</v>
      </c>
      <c r="B496" s="39" t="s">
        <v>26</v>
      </c>
      <c r="C496" s="40" t="s">
        <v>49</v>
      </c>
      <c r="D496" s="55"/>
      <c r="E496" s="79" t="s">
        <v>50</v>
      </c>
      <c r="F496" s="43">
        <f>SUM(F497:F515)</f>
        <v>504.379</v>
      </c>
      <c r="G496" s="67">
        <f>SUM(G497:G515)</f>
        <v>0</v>
      </c>
      <c r="H496" s="68">
        <f>SUM(H497:H515)</f>
        <v>0</v>
      </c>
      <c r="I496" s="69"/>
      <c r="J496" s="80"/>
      <c r="K496" s="70"/>
      <c r="L496" s="71">
        <v>0.9981606979800671</v>
      </c>
      <c r="M496" s="72">
        <f aca="true" t="shared" si="146" ref="M496:U496">SUM(M497:M515)</f>
        <v>349467.6</v>
      </c>
      <c r="N496" s="72">
        <f t="shared" si="146"/>
        <v>316967</v>
      </c>
      <c r="O496" s="72">
        <f t="shared" si="146"/>
        <v>0</v>
      </c>
      <c r="P496" s="72">
        <f t="shared" si="146"/>
        <v>0</v>
      </c>
      <c r="Q496" s="72">
        <f t="shared" si="146"/>
        <v>0</v>
      </c>
      <c r="R496" s="72">
        <f t="shared" si="146"/>
        <v>0</v>
      </c>
      <c r="S496" s="72">
        <f t="shared" si="146"/>
        <v>0</v>
      </c>
      <c r="T496" s="72">
        <f t="shared" si="146"/>
        <v>12449.4</v>
      </c>
      <c r="U496" s="72">
        <f t="shared" si="146"/>
        <v>329416.4</v>
      </c>
      <c r="V496" s="73"/>
    </row>
    <row r="497" spans="1:22" ht="12.75" hidden="1">
      <c r="A497" s="52">
        <v>14</v>
      </c>
      <c r="B497" s="53" t="s">
        <v>55</v>
      </c>
      <c r="C497" s="54" t="s">
        <v>52</v>
      </c>
      <c r="D497" s="55" t="s">
        <v>913</v>
      </c>
      <c r="E497" s="56" t="s">
        <v>914</v>
      </c>
      <c r="F497" s="43">
        <v>20.161</v>
      </c>
      <c r="G497" s="128"/>
      <c r="H497" s="128"/>
      <c r="I497" s="58"/>
      <c r="J497" s="59">
        <f aca="true" t="shared" si="147" ref="J497:J515">+($F$7-$O$952-$Q$952-$P$952-$R$952-$S$952)/($F$952-$G$952*1-$H$952*0.5)*0.646*1.0268514</f>
        <v>742.8502282779862</v>
      </c>
      <c r="K497" s="60">
        <v>0.9336178972540682</v>
      </c>
      <c r="L497" s="75">
        <v>1.004627805041555</v>
      </c>
      <c r="M497" s="63">
        <f aca="true" t="shared" si="148" ref="M497:M515">ROUND(J497*(F497-G497-H497*I497)*K497*(0.5+0.5*L497),1)</f>
        <v>14014.8</v>
      </c>
      <c r="N497" s="63">
        <f aca="true" t="shared" si="149" ref="N497:N515">ROUND(M497*0.907,1)</f>
        <v>12711.4</v>
      </c>
      <c r="O497" s="62"/>
      <c r="P497" s="76"/>
      <c r="Q497" s="77"/>
      <c r="R497" s="76"/>
      <c r="S497" s="77"/>
      <c r="T497" s="64"/>
      <c r="U497" s="45">
        <f aca="true" t="shared" si="150" ref="U497:U515">+N497+O497+T497+R497+S497+Q497</f>
        <v>12711.4</v>
      </c>
      <c r="V497" s="65"/>
    </row>
    <row r="498" spans="1:22" ht="12.75" hidden="1">
      <c r="A498" s="52">
        <v>14</v>
      </c>
      <c r="B498" s="53" t="s">
        <v>58</v>
      </c>
      <c r="C498" s="54" t="s">
        <v>52</v>
      </c>
      <c r="D498" s="55" t="s">
        <v>915</v>
      </c>
      <c r="E498" s="56" t="s">
        <v>916</v>
      </c>
      <c r="F498" s="43">
        <v>37.674</v>
      </c>
      <c r="G498" s="57"/>
      <c r="H498" s="57"/>
      <c r="I498" s="58"/>
      <c r="J498" s="59">
        <f t="shared" si="147"/>
        <v>742.8502282779862</v>
      </c>
      <c r="K498" s="60">
        <v>0.9336178972540682</v>
      </c>
      <c r="L498" s="75">
        <v>0.9801311118259821</v>
      </c>
      <c r="M498" s="63">
        <f t="shared" si="148"/>
        <v>25868.8</v>
      </c>
      <c r="N498" s="63">
        <f t="shared" si="149"/>
        <v>23463</v>
      </c>
      <c r="O498" s="62"/>
      <c r="P498" s="76"/>
      <c r="Q498" s="77"/>
      <c r="R498" s="76"/>
      <c r="S498" s="77"/>
      <c r="T498" s="64"/>
      <c r="U498" s="45">
        <f t="shared" si="150"/>
        <v>23463</v>
      </c>
      <c r="V498" s="65"/>
    </row>
    <row r="499" spans="1:22" ht="12.75" hidden="1">
      <c r="A499" s="52">
        <v>14</v>
      </c>
      <c r="B499" s="53" t="s">
        <v>61</v>
      </c>
      <c r="C499" s="54" t="s">
        <v>52</v>
      </c>
      <c r="D499" s="55" t="s">
        <v>917</v>
      </c>
      <c r="E499" s="56" t="s">
        <v>918</v>
      </c>
      <c r="F499" s="43">
        <v>23.369</v>
      </c>
      <c r="G499" s="57"/>
      <c r="H499" s="57"/>
      <c r="I499" s="58"/>
      <c r="J499" s="59">
        <f t="shared" si="147"/>
        <v>742.8502282779862</v>
      </c>
      <c r="K499" s="60">
        <v>0.9336178972540682</v>
      </c>
      <c r="L499" s="75">
        <v>0.9915725532555798</v>
      </c>
      <c r="M499" s="63">
        <f t="shared" si="148"/>
        <v>16139</v>
      </c>
      <c r="N499" s="63">
        <f t="shared" si="149"/>
        <v>14638.1</v>
      </c>
      <c r="O499" s="62"/>
      <c r="P499" s="76"/>
      <c r="Q499" s="77"/>
      <c r="R499" s="76"/>
      <c r="S499" s="77"/>
      <c r="T499" s="64"/>
      <c r="U499" s="45">
        <f t="shared" si="150"/>
        <v>14638.1</v>
      </c>
      <c r="V499" s="65"/>
    </row>
    <row r="500" spans="1:22" ht="12.75" hidden="1">
      <c r="A500" s="52">
        <v>14</v>
      </c>
      <c r="B500" s="53" t="s">
        <v>64</v>
      </c>
      <c r="C500" s="54" t="s">
        <v>52</v>
      </c>
      <c r="D500" s="55" t="s">
        <v>919</v>
      </c>
      <c r="E500" s="56" t="s">
        <v>920</v>
      </c>
      <c r="F500" s="43">
        <v>20.356</v>
      </c>
      <c r="G500" s="57"/>
      <c r="H500" s="57"/>
      <c r="I500" s="58"/>
      <c r="J500" s="59">
        <f t="shared" si="147"/>
        <v>742.8502282779862</v>
      </c>
      <c r="K500" s="60">
        <v>0.9336178972540682</v>
      </c>
      <c r="L500" s="75">
        <v>0.9772241941316883</v>
      </c>
      <c r="M500" s="63">
        <f t="shared" si="148"/>
        <v>13956.9</v>
      </c>
      <c r="N500" s="63">
        <f t="shared" si="149"/>
        <v>12658.9</v>
      </c>
      <c r="O500" s="62"/>
      <c r="P500" s="76"/>
      <c r="Q500" s="77"/>
      <c r="R500" s="76"/>
      <c r="S500" s="77"/>
      <c r="T500" s="64"/>
      <c r="U500" s="45">
        <f t="shared" si="150"/>
        <v>12658.9</v>
      </c>
      <c r="V500" s="65"/>
    </row>
    <row r="501" spans="1:22" ht="12.75" hidden="1">
      <c r="A501" s="52">
        <v>14</v>
      </c>
      <c r="B501" s="53">
        <v>10</v>
      </c>
      <c r="C501" s="54" t="s">
        <v>52</v>
      </c>
      <c r="D501" s="55" t="s">
        <v>921</v>
      </c>
      <c r="E501" s="56" t="s">
        <v>922</v>
      </c>
      <c r="F501" s="43">
        <v>17.995</v>
      </c>
      <c r="G501" s="57"/>
      <c r="H501" s="57"/>
      <c r="I501" s="58"/>
      <c r="J501" s="59">
        <f t="shared" si="147"/>
        <v>742.8502282779862</v>
      </c>
      <c r="K501" s="60">
        <v>0.9336178972540682</v>
      </c>
      <c r="L501" s="75">
        <v>0.9827980423713557</v>
      </c>
      <c r="M501" s="63">
        <f t="shared" si="148"/>
        <v>12372.9</v>
      </c>
      <c r="N501" s="63">
        <f t="shared" si="149"/>
        <v>11222.2</v>
      </c>
      <c r="O501" s="62"/>
      <c r="P501" s="76"/>
      <c r="Q501" s="77"/>
      <c r="R501" s="76"/>
      <c r="S501" s="77"/>
      <c r="T501" s="64"/>
      <c r="U501" s="45">
        <f t="shared" si="150"/>
        <v>11222.2</v>
      </c>
      <c r="V501" s="65"/>
    </row>
    <row r="502" spans="1:22" ht="12.75" hidden="1">
      <c r="A502" s="52">
        <v>14</v>
      </c>
      <c r="B502" s="53">
        <v>11</v>
      </c>
      <c r="C502" s="54" t="s">
        <v>52</v>
      </c>
      <c r="D502" s="55" t="s">
        <v>923</v>
      </c>
      <c r="E502" s="56" t="s">
        <v>924</v>
      </c>
      <c r="F502" s="43">
        <v>23.081</v>
      </c>
      <c r="G502" s="57"/>
      <c r="H502" s="57"/>
      <c r="I502" s="58"/>
      <c r="J502" s="59">
        <f t="shared" si="147"/>
        <v>742.8502282779862</v>
      </c>
      <c r="K502" s="60">
        <v>0.9336178972540682</v>
      </c>
      <c r="L502" s="75">
        <v>0.986410896795535</v>
      </c>
      <c r="M502" s="63">
        <f t="shared" si="148"/>
        <v>15898.8</v>
      </c>
      <c r="N502" s="63">
        <f t="shared" si="149"/>
        <v>14420.2</v>
      </c>
      <c r="O502" s="62"/>
      <c r="P502" s="76"/>
      <c r="Q502" s="77"/>
      <c r="R502" s="76"/>
      <c r="S502" s="77"/>
      <c r="T502" s="64"/>
      <c r="U502" s="45">
        <f t="shared" si="150"/>
        <v>14420.2</v>
      </c>
      <c r="V502" s="65"/>
    </row>
    <row r="503" spans="1:22" ht="12.75" hidden="1">
      <c r="A503" s="52">
        <v>14</v>
      </c>
      <c r="B503" s="53">
        <v>12</v>
      </c>
      <c r="C503" s="54" t="s">
        <v>52</v>
      </c>
      <c r="D503" s="55" t="s">
        <v>925</v>
      </c>
      <c r="E503" s="56" t="s">
        <v>926</v>
      </c>
      <c r="F503" s="43">
        <v>30.46</v>
      </c>
      <c r="G503" s="57"/>
      <c r="H503" s="57"/>
      <c r="I503" s="58"/>
      <c r="J503" s="59">
        <f t="shared" si="147"/>
        <v>742.8502282779862</v>
      </c>
      <c r="K503" s="60">
        <v>0.9336178972540682</v>
      </c>
      <c r="L503" s="75">
        <v>1.0039333745711698</v>
      </c>
      <c r="M503" s="63">
        <f t="shared" si="148"/>
        <v>21166.7</v>
      </c>
      <c r="N503" s="63">
        <f t="shared" si="149"/>
        <v>19198.2</v>
      </c>
      <c r="O503" s="62"/>
      <c r="P503" s="76"/>
      <c r="Q503" s="77"/>
      <c r="R503" s="76"/>
      <c r="S503" s="77"/>
      <c r="T503" s="64"/>
      <c r="U503" s="45">
        <f t="shared" si="150"/>
        <v>19198.2</v>
      </c>
      <c r="V503" s="65"/>
    </row>
    <row r="504" spans="1:22" ht="12.75" hidden="1">
      <c r="A504" s="52">
        <v>14</v>
      </c>
      <c r="B504" s="53">
        <v>13</v>
      </c>
      <c r="C504" s="54" t="s">
        <v>52</v>
      </c>
      <c r="D504" s="55" t="s">
        <v>927</v>
      </c>
      <c r="E504" s="56" t="s">
        <v>928</v>
      </c>
      <c r="F504" s="43">
        <v>17.559</v>
      </c>
      <c r="G504" s="57"/>
      <c r="H504" s="57"/>
      <c r="I504" s="58"/>
      <c r="J504" s="59">
        <f t="shared" si="147"/>
        <v>742.8502282779862</v>
      </c>
      <c r="K504" s="60">
        <v>0.9336178972540682</v>
      </c>
      <c r="L504" s="75">
        <v>0.9970495788107032</v>
      </c>
      <c r="M504" s="63">
        <f t="shared" si="148"/>
        <v>12159.9</v>
      </c>
      <c r="N504" s="63">
        <f t="shared" si="149"/>
        <v>11029</v>
      </c>
      <c r="O504" s="62"/>
      <c r="P504" s="76"/>
      <c r="Q504" s="77"/>
      <c r="R504" s="76"/>
      <c r="S504" s="77"/>
      <c r="T504" s="64"/>
      <c r="U504" s="45">
        <f t="shared" si="150"/>
        <v>11029</v>
      </c>
      <c r="V504" s="65"/>
    </row>
    <row r="505" spans="1:22" ht="12.75" hidden="1">
      <c r="A505" s="52">
        <v>14</v>
      </c>
      <c r="B505" s="53">
        <v>14</v>
      </c>
      <c r="C505" s="54" t="s">
        <v>52</v>
      </c>
      <c r="D505" s="55" t="s">
        <v>929</v>
      </c>
      <c r="E505" s="56" t="s">
        <v>930</v>
      </c>
      <c r="F505" s="43">
        <v>25.457</v>
      </c>
      <c r="G505" s="57"/>
      <c r="H505" s="57"/>
      <c r="I505" s="58"/>
      <c r="J505" s="59">
        <f t="shared" si="147"/>
        <v>742.8502282779862</v>
      </c>
      <c r="K505" s="60">
        <v>0.9336178972540682</v>
      </c>
      <c r="L505" s="75">
        <v>0.9954945780882651</v>
      </c>
      <c r="M505" s="63">
        <f t="shared" si="148"/>
        <v>17615.6</v>
      </c>
      <c r="N505" s="63">
        <f t="shared" si="149"/>
        <v>15977.3</v>
      </c>
      <c r="O505" s="62"/>
      <c r="P505" s="76"/>
      <c r="Q505" s="77"/>
      <c r="R505" s="76"/>
      <c r="S505" s="77"/>
      <c r="T505" s="64"/>
      <c r="U505" s="45">
        <f t="shared" si="150"/>
        <v>15977.3</v>
      </c>
      <c r="V505" s="65"/>
    </row>
    <row r="506" spans="1:22" ht="12.75" hidden="1">
      <c r="A506" s="52">
        <v>14</v>
      </c>
      <c r="B506" s="53">
        <v>15</v>
      </c>
      <c r="C506" s="54" t="s">
        <v>52</v>
      </c>
      <c r="D506" s="55" t="s">
        <v>931</v>
      </c>
      <c r="E506" s="56" t="s">
        <v>932</v>
      </c>
      <c r="F506" s="43">
        <v>15.492</v>
      </c>
      <c r="G506" s="57"/>
      <c r="H506" s="57"/>
      <c r="I506" s="58"/>
      <c r="J506" s="59">
        <f t="shared" si="147"/>
        <v>742.8502282779862</v>
      </c>
      <c r="K506" s="60">
        <v>0.9336178972540682</v>
      </c>
      <c r="L506" s="75">
        <v>0.9882378073171608</v>
      </c>
      <c r="M506" s="63">
        <f t="shared" si="148"/>
        <v>10681.1</v>
      </c>
      <c r="N506" s="63">
        <f t="shared" si="149"/>
        <v>9687.8</v>
      </c>
      <c r="O506" s="62"/>
      <c r="P506" s="76"/>
      <c r="Q506" s="77"/>
      <c r="R506" s="76"/>
      <c r="S506" s="77"/>
      <c r="T506" s="64"/>
      <c r="U506" s="45">
        <f t="shared" si="150"/>
        <v>9687.8</v>
      </c>
      <c r="V506" s="65"/>
    </row>
    <row r="507" spans="1:22" ht="12.75" hidden="1">
      <c r="A507" s="52">
        <v>14</v>
      </c>
      <c r="B507" s="53">
        <v>16</v>
      </c>
      <c r="C507" s="54" t="s">
        <v>52</v>
      </c>
      <c r="D507" s="55" t="s">
        <v>933</v>
      </c>
      <c r="E507" s="56" t="s">
        <v>934</v>
      </c>
      <c r="F507" s="43">
        <v>50.518</v>
      </c>
      <c r="G507" s="57"/>
      <c r="H507" s="57"/>
      <c r="I507" s="58"/>
      <c r="J507" s="59">
        <f t="shared" si="147"/>
        <v>742.8502282779862</v>
      </c>
      <c r="K507" s="60">
        <v>0.9336178972540682</v>
      </c>
      <c r="L507" s="75">
        <v>0.9936224511089629</v>
      </c>
      <c r="M507" s="63">
        <f t="shared" si="148"/>
        <v>34924.4</v>
      </c>
      <c r="N507" s="63">
        <f t="shared" si="149"/>
        <v>31676.4</v>
      </c>
      <c r="O507" s="62"/>
      <c r="P507" s="76"/>
      <c r="Q507" s="77"/>
      <c r="R507" s="76"/>
      <c r="S507" s="77"/>
      <c r="T507" s="64"/>
      <c r="U507" s="45">
        <f t="shared" si="150"/>
        <v>31676.4</v>
      </c>
      <c r="V507" s="65"/>
    </row>
    <row r="508" spans="1:22" ht="12.75" hidden="1">
      <c r="A508" s="52">
        <v>14</v>
      </c>
      <c r="B508" s="53">
        <v>17</v>
      </c>
      <c r="C508" s="54" t="s">
        <v>52</v>
      </c>
      <c r="D508" s="55" t="s">
        <v>935</v>
      </c>
      <c r="E508" s="56" t="s">
        <v>936</v>
      </c>
      <c r="F508" s="43">
        <v>19.677</v>
      </c>
      <c r="G508" s="57"/>
      <c r="H508" s="57"/>
      <c r="I508" s="58"/>
      <c r="J508" s="59">
        <f t="shared" si="147"/>
        <v>742.8502282779862</v>
      </c>
      <c r="K508" s="60">
        <v>0.9336178972540682</v>
      </c>
      <c r="L508" s="75">
        <v>1.0112479561882943</v>
      </c>
      <c r="M508" s="63">
        <f t="shared" si="148"/>
        <v>13723.5</v>
      </c>
      <c r="N508" s="63">
        <f t="shared" si="149"/>
        <v>12447.2</v>
      </c>
      <c r="O508" s="62"/>
      <c r="P508" s="76"/>
      <c r="Q508" s="77"/>
      <c r="R508" s="76"/>
      <c r="S508" s="77"/>
      <c r="T508" s="64"/>
      <c r="U508" s="45">
        <f t="shared" si="150"/>
        <v>12447.2</v>
      </c>
      <c r="V508" s="65"/>
    </row>
    <row r="509" spans="1:22" ht="12.75" hidden="1">
      <c r="A509" s="52">
        <v>14</v>
      </c>
      <c r="B509" s="53">
        <v>18</v>
      </c>
      <c r="C509" s="54" t="s">
        <v>52</v>
      </c>
      <c r="D509" s="55" t="s">
        <v>937</v>
      </c>
      <c r="E509" s="56" t="s">
        <v>938</v>
      </c>
      <c r="F509" s="43">
        <v>24.842</v>
      </c>
      <c r="G509" s="57"/>
      <c r="H509" s="57"/>
      <c r="I509" s="58"/>
      <c r="J509" s="59">
        <f t="shared" si="147"/>
        <v>742.8502282779862</v>
      </c>
      <c r="K509" s="60">
        <v>0.9336178972540682</v>
      </c>
      <c r="L509" s="75">
        <v>1.012818687682202</v>
      </c>
      <c r="M509" s="63">
        <f t="shared" si="148"/>
        <v>17339.3</v>
      </c>
      <c r="N509" s="63">
        <f t="shared" si="149"/>
        <v>15726.7</v>
      </c>
      <c r="O509" s="62"/>
      <c r="P509" s="76"/>
      <c r="Q509" s="77"/>
      <c r="R509" s="76"/>
      <c r="S509" s="77"/>
      <c r="T509" s="64"/>
      <c r="U509" s="45">
        <f t="shared" si="150"/>
        <v>15726.7</v>
      </c>
      <c r="V509" s="65"/>
    </row>
    <row r="510" spans="1:22" s="82" customFormat="1" ht="13.5" hidden="1">
      <c r="A510" s="52">
        <v>14</v>
      </c>
      <c r="B510" s="53">
        <v>19</v>
      </c>
      <c r="C510" s="54" t="s">
        <v>52</v>
      </c>
      <c r="D510" s="55" t="s">
        <v>939</v>
      </c>
      <c r="E510" s="56" t="s">
        <v>849</v>
      </c>
      <c r="F510" s="43">
        <v>30.411</v>
      </c>
      <c r="G510" s="57"/>
      <c r="H510" s="57"/>
      <c r="I510" s="58"/>
      <c r="J510" s="59">
        <f t="shared" si="147"/>
        <v>742.8502282779862</v>
      </c>
      <c r="K510" s="60">
        <v>0.9336178972540682</v>
      </c>
      <c r="L510" s="75">
        <v>1.010860706619178</v>
      </c>
      <c r="M510" s="63">
        <f t="shared" si="148"/>
        <v>21205.7</v>
      </c>
      <c r="N510" s="63">
        <f t="shared" si="149"/>
        <v>19233.6</v>
      </c>
      <c r="O510" s="62"/>
      <c r="P510" s="76"/>
      <c r="Q510" s="77"/>
      <c r="R510" s="76"/>
      <c r="S510" s="77"/>
      <c r="T510" s="64"/>
      <c r="U510" s="45">
        <f t="shared" si="150"/>
        <v>19233.6</v>
      </c>
      <c r="V510" s="65"/>
    </row>
    <row r="511" spans="1:22" s="82" customFormat="1" ht="13.5" hidden="1">
      <c r="A511" s="52">
        <v>14</v>
      </c>
      <c r="B511" s="53">
        <v>20</v>
      </c>
      <c r="C511" s="54" t="s">
        <v>52</v>
      </c>
      <c r="D511" s="55" t="s">
        <v>940</v>
      </c>
      <c r="E511" s="56" t="s">
        <v>941</v>
      </c>
      <c r="F511" s="43">
        <v>31.144</v>
      </c>
      <c r="G511" s="57"/>
      <c r="H511" s="57"/>
      <c r="I511" s="58"/>
      <c r="J511" s="59">
        <f t="shared" si="147"/>
        <v>742.8502282779862</v>
      </c>
      <c r="K511" s="60">
        <v>0.9336178972540682</v>
      </c>
      <c r="L511" s="75">
        <v>0.9726726852903613</v>
      </c>
      <c r="M511" s="63">
        <f t="shared" si="148"/>
        <v>21304.4</v>
      </c>
      <c r="N511" s="63">
        <f t="shared" si="149"/>
        <v>19323.1</v>
      </c>
      <c r="O511" s="62"/>
      <c r="P511" s="76"/>
      <c r="Q511" s="77"/>
      <c r="R511" s="76"/>
      <c r="S511" s="77"/>
      <c r="T511" s="64"/>
      <c r="U511" s="45">
        <f t="shared" si="150"/>
        <v>19323.1</v>
      </c>
      <c r="V511" s="65"/>
    </row>
    <row r="512" spans="1:22" s="129" customFormat="1" ht="12.75" hidden="1">
      <c r="A512" s="52">
        <v>14</v>
      </c>
      <c r="B512" s="53">
        <v>21</v>
      </c>
      <c r="C512" s="54" t="s">
        <v>52</v>
      </c>
      <c r="D512" s="55" t="s">
        <v>942</v>
      </c>
      <c r="E512" s="56" t="s">
        <v>943</v>
      </c>
      <c r="F512" s="43">
        <v>33.533</v>
      </c>
      <c r="G512" s="57"/>
      <c r="H512" s="57"/>
      <c r="I512" s="58"/>
      <c r="J512" s="59">
        <f t="shared" si="147"/>
        <v>742.8502282779862</v>
      </c>
      <c r="K512" s="60">
        <v>0.9336178972540682</v>
      </c>
      <c r="L512" s="75">
        <v>1.0055665939135472</v>
      </c>
      <c r="M512" s="63">
        <f t="shared" si="148"/>
        <v>23321.1</v>
      </c>
      <c r="N512" s="63">
        <f t="shared" si="149"/>
        <v>21152.2</v>
      </c>
      <c r="O512" s="62"/>
      <c r="P512" s="76"/>
      <c r="Q512" s="77"/>
      <c r="R512" s="76"/>
      <c r="S512" s="77"/>
      <c r="T512" s="64"/>
      <c r="U512" s="45">
        <f t="shared" si="150"/>
        <v>21152.2</v>
      </c>
      <c r="V512" s="65"/>
    </row>
    <row r="513" spans="1:22" s="91" customFormat="1" ht="12.75" hidden="1">
      <c r="A513" s="52">
        <v>14</v>
      </c>
      <c r="B513" s="53">
        <v>22</v>
      </c>
      <c r="C513" s="54" t="s">
        <v>52</v>
      </c>
      <c r="D513" s="55" t="s">
        <v>944</v>
      </c>
      <c r="E513" s="56" t="s">
        <v>945</v>
      </c>
      <c r="F513" s="43">
        <v>12.046</v>
      </c>
      <c r="G513" s="57"/>
      <c r="H513" s="57"/>
      <c r="I513" s="58"/>
      <c r="J513" s="59">
        <f t="shared" si="147"/>
        <v>742.8502282779862</v>
      </c>
      <c r="K513" s="60">
        <v>0.9336178972540682</v>
      </c>
      <c r="L513" s="75">
        <v>1.0119832656406418</v>
      </c>
      <c r="M513" s="63">
        <f t="shared" si="148"/>
        <v>8404.4</v>
      </c>
      <c r="N513" s="63">
        <f t="shared" si="149"/>
        <v>7622.8</v>
      </c>
      <c r="O513" s="62"/>
      <c r="P513" s="76"/>
      <c r="Q513" s="77"/>
      <c r="R513" s="76"/>
      <c r="S513" s="77"/>
      <c r="T513" s="64">
        <f>ROUND(N493+N517,1)</f>
        <v>12449.4</v>
      </c>
      <c r="U513" s="45">
        <f t="shared" si="150"/>
        <v>20072.2</v>
      </c>
      <c r="V513" s="65"/>
    </row>
    <row r="514" spans="1:22" s="155" customFormat="1" ht="12.75" hidden="1">
      <c r="A514" s="52">
        <v>14</v>
      </c>
      <c r="B514" s="53">
        <v>23</v>
      </c>
      <c r="C514" s="54" t="s">
        <v>52</v>
      </c>
      <c r="D514" s="55" t="s">
        <v>946</v>
      </c>
      <c r="E514" s="56" t="s">
        <v>947</v>
      </c>
      <c r="F514" s="43">
        <v>30.249</v>
      </c>
      <c r="G514" s="57"/>
      <c r="H514" s="57"/>
      <c r="I514" s="58"/>
      <c r="J514" s="59">
        <f t="shared" si="147"/>
        <v>742.8502282779862</v>
      </c>
      <c r="K514" s="60">
        <v>0.9336178972540682</v>
      </c>
      <c r="L514" s="75">
        <v>1.0323640863906272</v>
      </c>
      <c r="M514" s="63">
        <f t="shared" si="148"/>
        <v>21318.3</v>
      </c>
      <c r="N514" s="63">
        <f t="shared" si="149"/>
        <v>19335.7</v>
      </c>
      <c r="O514" s="62"/>
      <c r="P514" s="76"/>
      <c r="Q514" s="77"/>
      <c r="R514" s="76"/>
      <c r="S514" s="77"/>
      <c r="T514" s="64"/>
      <c r="U514" s="45">
        <f t="shared" si="150"/>
        <v>19335.7</v>
      </c>
      <c r="V514" s="65"/>
    </row>
    <row r="515" spans="1:22" ht="12.75" hidden="1">
      <c r="A515" s="52">
        <v>14</v>
      </c>
      <c r="B515" s="53">
        <v>24</v>
      </c>
      <c r="C515" s="54" t="s">
        <v>52</v>
      </c>
      <c r="D515" s="55" t="s">
        <v>948</v>
      </c>
      <c r="E515" s="56" t="s">
        <v>949</v>
      </c>
      <c r="F515" s="43">
        <v>40.355</v>
      </c>
      <c r="G515" s="57"/>
      <c r="H515" s="57"/>
      <c r="I515" s="58"/>
      <c r="J515" s="59">
        <f t="shared" si="147"/>
        <v>742.8502282779862</v>
      </c>
      <c r="K515" s="60">
        <v>0.9336178972540682</v>
      </c>
      <c r="L515" s="75">
        <v>1.0045940576951047</v>
      </c>
      <c r="M515" s="63">
        <f t="shared" si="148"/>
        <v>28052</v>
      </c>
      <c r="N515" s="63">
        <f t="shared" si="149"/>
        <v>25443.2</v>
      </c>
      <c r="O515" s="62"/>
      <c r="P515" s="76"/>
      <c r="Q515" s="77"/>
      <c r="R515" s="76"/>
      <c r="S515" s="77"/>
      <c r="T515" s="64"/>
      <c r="U515" s="45">
        <f t="shared" si="150"/>
        <v>25443.2</v>
      </c>
      <c r="V515" s="65"/>
    </row>
    <row r="516" spans="1:22" s="139" customFormat="1" ht="26.25" hidden="1">
      <c r="A516" s="182">
        <v>14</v>
      </c>
      <c r="B516" s="183" t="s">
        <v>26</v>
      </c>
      <c r="C516" s="184" t="s">
        <v>111</v>
      </c>
      <c r="D516" s="185"/>
      <c r="E516" s="186" t="s">
        <v>112</v>
      </c>
      <c r="F516" s="136">
        <f>F517</f>
        <v>3.384</v>
      </c>
      <c r="G516" s="187">
        <f>SUM(G517)</f>
        <v>0</v>
      </c>
      <c r="H516" s="187">
        <f>SUM(H517)</f>
        <v>0</v>
      </c>
      <c r="I516" s="188"/>
      <c r="J516" s="189"/>
      <c r="K516" s="75"/>
      <c r="L516" s="75">
        <v>0</v>
      </c>
      <c r="M516" s="72">
        <f aca="true" t="shared" si="151" ref="M516:U516">SUM(M517)</f>
        <v>2361</v>
      </c>
      <c r="N516" s="72">
        <f t="shared" si="151"/>
        <v>2141.4</v>
      </c>
      <c r="O516" s="72">
        <f t="shared" si="151"/>
        <v>0</v>
      </c>
      <c r="P516" s="72">
        <f t="shared" si="151"/>
        <v>0</v>
      </c>
      <c r="Q516" s="72">
        <f t="shared" si="151"/>
        <v>0</v>
      </c>
      <c r="R516" s="72">
        <f t="shared" si="151"/>
        <v>0</v>
      </c>
      <c r="S516" s="72">
        <f t="shared" si="151"/>
        <v>0</v>
      </c>
      <c r="T516" s="72">
        <f t="shared" si="151"/>
        <v>-2141.4</v>
      </c>
      <c r="U516" s="72">
        <f t="shared" si="151"/>
        <v>0</v>
      </c>
      <c r="V516" s="180"/>
    </row>
    <row r="517" spans="1:22" ht="26.25" hidden="1">
      <c r="A517" s="145">
        <v>14</v>
      </c>
      <c r="B517" s="87">
        <v>25</v>
      </c>
      <c r="C517" s="88" t="s">
        <v>113</v>
      </c>
      <c r="D517" s="169" t="s">
        <v>950</v>
      </c>
      <c r="E517" s="56" t="s">
        <v>951</v>
      </c>
      <c r="F517" s="43">
        <v>3.384</v>
      </c>
      <c r="G517" s="57"/>
      <c r="H517" s="57"/>
      <c r="I517" s="58"/>
      <c r="J517" s="59">
        <f>+($F$7-$O$952-$Q$952-$P$952-$R$952-$S$952)/($F$952-$G$952*1-$H$952*0.5)*0.646*1.0268514</f>
        <v>742.8502282779862</v>
      </c>
      <c r="K517" s="60">
        <v>0.9336178972540682</v>
      </c>
      <c r="L517" s="75">
        <v>1.0119832656406418</v>
      </c>
      <c r="M517" s="63">
        <f>ROUND(J517*(F517-G517-H517*I517)*K517*(0.5+0.5*L517),1)</f>
        <v>2361</v>
      </c>
      <c r="N517" s="63">
        <f>ROUND(M517*0.907,1)</f>
        <v>2141.4</v>
      </c>
      <c r="O517" s="62"/>
      <c r="P517" s="76"/>
      <c r="Q517" s="77"/>
      <c r="R517" s="76"/>
      <c r="S517" s="77"/>
      <c r="T517" s="64">
        <f>-ROUND(N517,1)</f>
        <v>-2141.4</v>
      </c>
      <c r="U517" s="45">
        <f>+N517+O517+T517+R517+S517+Q517</f>
        <v>0</v>
      </c>
      <c r="V517" s="65"/>
    </row>
    <row r="518" spans="1:22" ht="25.5" hidden="1">
      <c r="A518" s="170">
        <v>15</v>
      </c>
      <c r="B518" s="167" t="s">
        <v>26</v>
      </c>
      <c r="C518" s="40" t="s">
        <v>27</v>
      </c>
      <c r="D518" s="55"/>
      <c r="E518" s="168" t="s">
        <v>952</v>
      </c>
      <c r="F518" s="43">
        <f>F519+F520+F528+F555</f>
        <v>2390.289</v>
      </c>
      <c r="G518" s="44">
        <f>+G519+G520+G528+G555</f>
        <v>0</v>
      </c>
      <c r="H518" s="44">
        <f>+H519+H520+H528+H555</f>
        <v>0</v>
      </c>
      <c r="I518" s="45"/>
      <c r="J518" s="46"/>
      <c r="K518" s="47"/>
      <c r="L518" s="48">
        <v>0.9922382603653348</v>
      </c>
      <c r="M518" s="49">
        <f aca="true" t="shared" si="152" ref="M518:U518">+M519+M520+M528+M555</f>
        <v>2675562.7</v>
      </c>
      <c r="N518" s="49">
        <f t="shared" si="152"/>
        <v>2675562.7</v>
      </c>
      <c r="O518" s="49">
        <f t="shared" si="152"/>
        <v>0</v>
      </c>
      <c r="P518" s="49">
        <f t="shared" si="152"/>
        <v>114</v>
      </c>
      <c r="Q518" s="49">
        <f t="shared" si="152"/>
        <v>46440.4</v>
      </c>
      <c r="R518" s="49">
        <f t="shared" si="152"/>
        <v>53745.3</v>
      </c>
      <c r="S518" s="49">
        <f t="shared" si="152"/>
        <v>1579</v>
      </c>
      <c r="T518" s="49">
        <f t="shared" si="152"/>
        <v>0</v>
      </c>
      <c r="U518" s="49">
        <f t="shared" si="152"/>
        <v>2777441.4000000004</v>
      </c>
      <c r="V518" s="65"/>
    </row>
    <row r="519" spans="1:22" ht="12.75" hidden="1">
      <c r="A519" s="52">
        <v>15</v>
      </c>
      <c r="B519" s="53" t="s">
        <v>26</v>
      </c>
      <c r="C519" s="54" t="s">
        <v>29</v>
      </c>
      <c r="D519" s="55" t="s">
        <v>953</v>
      </c>
      <c r="E519" s="56" t="s">
        <v>31</v>
      </c>
      <c r="F519" s="43">
        <v>0</v>
      </c>
      <c r="G519" s="128"/>
      <c r="H519" s="128"/>
      <c r="I519" s="58"/>
      <c r="J519" s="59">
        <f>+($F$7-$O$952-$Q$952-$P$952-R$952-$S$952)/$F$952*0.354*0.951</f>
        <v>376.76602120660414</v>
      </c>
      <c r="K519" s="60">
        <v>0</v>
      </c>
      <c r="L519" s="48">
        <v>0.9922382603653348</v>
      </c>
      <c r="M519" s="49">
        <f>ROUND(J519*(F520+F528+F555)*(0.5+0.5*L519),1)</f>
        <v>897084.6</v>
      </c>
      <c r="N519" s="49">
        <f>M519+ROUND(SUM(M521:M527)*0.117+SUM(M529:M554)*0.093+SUM(M556:M563)*0.093,1)+0.1+0.1</f>
        <v>1087157.0000000002</v>
      </c>
      <c r="O519" s="61"/>
      <c r="P519" s="62">
        <v>114</v>
      </c>
      <c r="Q519" s="63">
        <v>46440.4</v>
      </c>
      <c r="R519" s="62">
        <v>53745.3</v>
      </c>
      <c r="S519" s="63">
        <v>1579</v>
      </c>
      <c r="T519" s="64"/>
      <c r="U519" s="45">
        <f>N519+O519+P519+Q519+R519+S519+T519</f>
        <v>1189035.7000000002</v>
      </c>
      <c r="V519" s="65"/>
    </row>
    <row r="520" spans="1:22" ht="13.5" hidden="1">
      <c r="A520" s="38">
        <v>15</v>
      </c>
      <c r="B520" s="39" t="s">
        <v>26</v>
      </c>
      <c r="C520" s="40" t="s">
        <v>33</v>
      </c>
      <c r="D520" s="55"/>
      <c r="E520" s="79" t="s">
        <v>34</v>
      </c>
      <c r="F520" s="43">
        <f>SUM(F521:F527)</f>
        <v>1296.107</v>
      </c>
      <c r="G520" s="67">
        <f>SUM(G521:G527)</f>
        <v>0</v>
      </c>
      <c r="H520" s="68">
        <f>SUM(H521:H527)</f>
        <v>0</v>
      </c>
      <c r="I520" s="69"/>
      <c r="J520" s="59"/>
      <c r="K520" s="70"/>
      <c r="L520" s="71">
        <v>1.0047134690155355</v>
      </c>
      <c r="M520" s="72">
        <f aca="true" t="shared" si="153" ref="M520:U520">SUM(M521:M527)</f>
        <v>1028074.4</v>
      </c>
      <c r="N520" s="72">
        <f t="shared" si="153"/>
        <v>907789.7</v>
      </c>
      <c r="O520" s="72">
        <f t="shared" si="153"/>
        <v>0</v>
      </c>
      <c r="P520" s="72">
        <f t="shared" si="153"/>
        <v>0</v>
      </c>
      <c r="Q520" s="72">
        <f t="shared" si="153"/>
        <v>0</v>
      </c>
      <c r="R520" s="72">
        <f t="shared" si="153"/>
        <v>0</v>
      </c>
      <c r="S520" s="72">
        <f t="shared" si="153"/>
        <v>0</v>
      </c>
      <c r="T520" s="72">
        <f t="shared" si="153"/>
        <v>0</v>
      </c>
      <c r="U520" s="72">
        <f t="shared" si="153"/>
        <v>907789.7</v>
      </c>
      <c r="V520" s="73"/>
    </row>
    <row r="521" spans="1:22" ht="12.75" hidden="1">
      <c r="A521" s="52">
        <v>15</v>
      </c>
      <c r="B521" s="53" t="s">
        <v>35</v>
      </c>
      <c r="C521" s="54" t="s">
        <v>36</v>
      </c>
      <c r="D521" s="55" t="s">
        <v>954</v>
      </c>
      <c r="E521" s="74" t="s">
        <v>955</v>
      </c>
      <c r="F521" s="43">
        <v>1010.848</v>
      </c>
      <c r="G521" s="162"/>
      <c r="H521" s="162"/>
      <c r="I521" s="58"/>
      <c r="J521" s="59">
        <f aca="true" t="shared" si="154" ref="J521:J527">+($F$7-$O$952-$Q$952-$P$952-$R$952-$S$952)/($F$952-$G$952*1-$H$952*0.5)*0.646*1.0268514</f>
        <v>742.8502282779862</v>
      </c>
      <c r="K521" s="60">
        <v>1.065228053001168</v>
      </c>
      <c r="L521" s="75">
        <v>1.010388093794293</v>
      </c>
      <c r="M521" s="63">
        <f aca="true" t="shared" si="155" ref="M521:M527">ROUND(J521*(F521-G521-H521*I521)*K521*(0.5+0.5*L521),1)</f>
        <v>804043.6</v>
      </c>
      <c r="N521" s="63">
        <f aca="true" t="shared" si="156" ref="N521:N527">ROUND(M521*0.883,1)</f>
        <v>709970.5</v>
      </c>
      <c r="O521" s="62"/>
      <c r="P521" s="76"/>
      <c r="Q521" s="77"/>
      <c r="R521" s="76"/>
      <c r="S521" s="77"/>
      <c r="T521" s="64"/>
      <c r="U521" s="45">
        <f aca="true" t="shared" si="157" ref="U521:U527">+N521+O521+T521+R521+S521+Q521</f>
        <v>709970.5</v>
      </c>
      <c r="V521" s="65"/>
    </row>
    <row r="522" spans="1:22" s="82" customFormat="1" ht="13.5" hidden="1">
      <c r="A522" s="52">
        <v>15</v>
      </c>
      <c r="B522" s="190" t="s">
        <v>32</v>
      </c>
      <c r="C522" s="54" t="s">
        <v>36</v>
      </c>
      <c r="D522" s="55" t="s">
        <v>956</v>
      </c>
      <c r="E522" s="191" t="s">
        <v>957</v>
      </c>
      <c r="F522" s="43">
        <v>57.469</v>
      </c>
      <c r="G522" s="57"/>
      <c r="H522" s="57"/>
      <c r="I522" s="58"/>
      <c r="J522" s="59">
        <f t="shared" si="154"/>
        <v>742.8502282779862</v>
      </c>
      <c r="K522" s="60">
        <v>1.065228053001168</v>
      </c>
      <c r="L522" s="75">
        <v>0.9750599248235285</v>
      </c>
      <c r="M522" s="63">
        <f t="shared" si="155"/>
        <v>44908.4</v>
      </c>
      <c r="N522" s="63">
        <f t="shared" si="156"/>
        <v>39654.1</v>
      </c>
      <c r="O522" s="62"/>
      <c r="P522" s="76"/>
      <c r="Q522" s="77"/>
      <c r="R522" s="76"/>
      <c r="S522" s="77"/>
      <c r="T522" s="64"/>
      <c r="U522" s="45">
        <f t="shared" si="157"/>
        <v>39654.1</v>
      </c>
      <c r="V522" s="65"/>
    </row>
    <row r="523" spans="1:22" s="129" customFormat="1" ht="12.75" hidden="1">
      <c r="A523" s="52">
        <v>15</v>
      </c>
      <c r="B523" s="53" t="s">
        <v>118</v>
      </c>
      <c r="C523" s="54" t="s">
        <v>36</v>
      </c>
      <c r="D523" s="55" t="s">
        <v>958</v>
      </c>
      <c r="E523" s="191" t="s">
        <v>959</v>
      </c>
      <c r="F523" s="43">
        <v>72.178</v>
      </c>
      <c r="G523" s="57"/>
      <c r="H523" s="57"/>
      <c r="I523" s="58"/>
      <c r="J523" s="59">
        <f t="shared" si="154"/>
        <v>742.8502282779862</v>
      </c>
      <c r="K523" s="60">
        <v>1.065228053001168</v>
      </c>
      <c r="L523" s="75">
        <v>1.0109982940451778</v>
      </c>
      <c r="M523" s="63">
        <f t="shared" si="155"/>
        <v>57428.9</v>
      </c>
      <c r="N523" s="63">
        <f t="shared" si="156"/>
        <v>50709.7</v>
      </c>
      <c r="O523" s="62"/>
      <c r="P523" s="76"/>
      <c r="Q523" s="77"/>
      <c r="R523" s="76"/>
      <c r="S523" s="77"/>
      <c r="T523" s="64"/>
      <c r="U523" s="45">
        <f t="shared" si="157"/>
        <v>50709.7</v>
      </c>
      <c r="V523" s="65"/>
    </row>
    <row r="524" spans="1:22" ht="25.5" hidden="1">
      <c r="A524" s="52">
        <v>15</v>
      </c>
      <c r="B524" s="190" t="s">
        <v>127</v>
      </c>
      <c r="C524" s="54" t="s">
        <v>36</v>
      </c>
      <c r="D524" s="55" t="s">
        <v>960</v>
      </c>
      <c r="E524" s="78" t="s">
        <v>961</v>
      </c>
      <c r="F524" s="43">
        <v>72.58</v>
      </c>
      <c r="G524" s="57"/>
      <c r="H524" s="57"/>
      <c r="I524" s="58"/>
      <c r="J524" s="59">
        <f t="shared" si="154"/>
        <v>742.8502282779862</v>
      </c>
      <c r="K524" s="60">
        <v>1.065228053001168</v>
      </c>
      <c r="L524" s="75">
        <v>1.0048811971521703</v>
      </c>
      <c r="M524" s="63">
        <f t="shared" si="155"/>
        <v>57573.1</v>
      </c>
      <c r="N524" s="63">
        <f t="shared" si="156"/>
        <v>50837</v>
      </c>
      <c r="O524" s="62"/>
      <c r="P524" s="76"/>
      <c r="Q524" s="77"/>
      <c r="R524" s="76"/>
      <c r="S524" s="77"/>
      <c r="T524" s="64"/>
      <c r="U524" s="45">
        <f t="shared" si="157"/>
        <v>50837</v>
      </c>
      <c r="V524" s="65"/>
    </row>
    <row r="525" spans="1:22" ht="12.75" hidden="1">
      <c r="A525" s="52">
        <v>15</v>
      </c>
      <c r="B525" s="53" t="s">
        <v>51</v>
      </c>
      <c r="C525" s="54" t="s">
        <v>36</v>
      </c>
      <c r="D525" s="55" t="s">
        <v>962</v>
      </c>
      <c r="E525" s="191" t="s">
        <v>963</v>
      </c>
      <c r="F525" s="43">
        <v>40.582</v>
      </c>
      <c r="G525" s="57"/>
      <c r="H525" s="57"/>
      <c r="I525" s="58"/>
      <c r="J525" s="59">
        <f t="shared" si="154"/>
        <v>742.8502282779862</v>
      </c>
      <c r="K525" s="60">
        <v>1.065228053001168</v>
      </c>
      <c r="L525" s="75">
        <v>0.9678734632040917</v>
      </c>
      <c r="M525" s="63">
        <f t="shared" si="155"/>
        <v>31596.9</v>
      </c>
      <c r="N525" s="63">
        <f t="shared" si="156"/>
        <v>27900.1</v>
      </c>
      <c r="O525" s="62"/>
      <c r="P525" s="76"/>
      <c r="Q525" s="77"/>
      <c r="R525" s="76"/>
      <c r="S525" s="77"/>
      <c r="T525" s="64"/>
      <c r="U525" s="45">
        <f t="shared" si="157"/>
        <v>27900.1</v>
      </c>
      <c r="V525" s="65"/>
    </row>
    <row r="526" spans="1:22" ht="12.75" hidden="1">
      <c r="A526" s="52">
        <v>15</v>
      </c>
      <c r="B526" s="190" t="s">
        <v>55</v>
      </c>
      <c r="C526" s="54" t="s">
        <v>36</v>
      </c>
      <c r="D526" s="55" t="s">
        <v>964</v>
      </c>
      <c r="E526" s="191" t="s">
        <v>965</v>
      </c>
      <c r="F526" s="43">
        <v>10.296</v>
      </c>
      <c r="G526" s="57"/>
      <c r="H526" s="57"/>
      <c r="I526" s="58"/>
      <c r="J526" s="59">
        <f t="shared" si="154"/>
        <v>742.8502282779862</v>
      </c>
      <c r="K526" s="60">
        <v>1.065228053001168</v>
      </c>
      <c r="L526" s="75">
        <v>0.9282370486089038</v>
      </c>
      <c r="M526" s="63">
        <f t="shared" si="155"/>
        <v>7854.9</v>
      </c>
      <c r="N526" s="63">
        <f t="shared" si="156"/>
        <v>6935.9</v>
      </c>
      <c r="O526" s="62"/>
      <c r="P526" s="76"/>
      <c r="Q526" s="77"/>
      <c r="R526" s="76"/>
      <c r="S526" s="77"/>
      <c r="T526" s="64"/>
      <c r="U526" s="45">
        <f t="shared" si="157"/>
        <v>6935.9</v>
      </c>
      <c r="V526" s="65"/>
    </row>
    <row r="527" spans="1:22" ht="12.75" hidden="1">
      <c r="A527" s="52">
        <v>15</v>
      </c>
      <c r="B527" s="53" t="s">
        <v>58</v>
      </c>
      <c r="C527" s="54" t="s">
        <v>36</v>
      </c>
      <c r="D527" s="55" t="s">
        <v>966</v>
      </c>
      <c r="E527" s="78" t="s">
        <v>967</v>
      </c>
      <c r="F527" s="43">
        <v>32.154</v>
      </c>
      <c r="G527" s="57"/>
      <c r="H527" s="57"/>
      <c r="I527" s="58"/>
      <c r="J527" s="59">
        <f t="shared" si="154"/>
        <v>742.8502282779862</v>
      </c>
      <c r="K527" s="60">
        <v>1.065228053001168</v>
      </c>
      <c r="L527" s="75">
        <v>0.9390777506562189</v>
      </c>
      <c r="M527" s="63">
        <f t="shared" si="155"/>
        <v>24668.6</v>
      </c>
      <c r="N527" s="63">
        <f t="shared" si="156"/>
        <v>21782.4</v>
      </c>
      <c r="O527" s="62"/>
      <c r="P527" s="76"/>
      <c r="Q527" s="77"/>
      <c r="R527" s="76"/>
      <c r="S527" s="77"/>
      <c r="T527" s="64"/>
      <c r="U527" s="45">
        <f t="shared" si="157"/>
        <v>21782.4</v>
      </c>
      <c r="V527" s="65"/>
    </row>
    <row r="528" spans="1:22" ht="34.5" customHeight="1" hidden="1">
      <c r="A528" s="38">
        <v>15</v>
      </c>
      <c r="B528" s="39" t="s">
        <v>26</v>
      </c>
      <c r="C528" s="40" t="s">
        <v>49</v>
      </c>
      <c r="D528" s="55"/>
      <c r="E528" s="79" t="s">
        <v>50</v>
      </c>
      <c r="F528" s="43">
        <f>SUM(F529:F554)</f>
        <v>1008.9870000000003</v>
      </c>
      <c r="G528" s="67">
        <f>SUM(G529:G554)</f>
        <v>0</v>
      </c>
      <c r="H528" s="68">
        <f>SUM(H529:H554)</f>
        <v>0</v>
      </c>
      <c r="I528" s="69"/>
      <c r="J528" s="80"/>
      <c r="K528" s="70"/>
      <c r="L528" s="71">
        <v>0.9777534609845799</v>
      </c>
      <c r="M528" s="72">
        <f aca="true" t="shared" si="158" ref="M528:U528">SUM(M529:M554)</f>
        <v>691894.7</v>
      </c>
      <c r="N528" s="72">
        <f t="shared" si="158"/>
        <v>627548.2999999999</v>
      </c>
      <c r="O528" s="72">
        <f t="shared" si="158"/>
        <v>0</v>
      </c>
      <c r="P528" s="72">
        <f t="shared" si="158"/>
        <v>0</v>
      </c>
      <c r="Q528" s="72">
        <f t="shared" si="158"/>
        <v>0</v>
      </c>
      <c r="R528" s="72">
        <f t="shared" si="158"/>
        <v>0</v>
      </c>
      <c r="S528" s="72">
        <f t="shared" si="158"/>
        <v>0</v>
      </c>
      <c r="T528" s="72">
        <f t="shared" si="158"/>
        <v>0</v>
      </c>
      <c r="U528" s="72">
        <f t="shared" si="158"/>
        <v>627548.2999999999</v>
      </c>
      <c r="V528" s="73"/>
    </row>
    <row r="529" spans="1:22" ht="12.75" hidden="1">
      <c r="A529" s="52">
        <v>15</v>
      </c>
      <c r="B529" s="53" t="s">
        <v>61</v>
      </c>
      <c r="C529" s="54" t="s">
        <v>52</v>
      </c>
      <c r="D529" s="55" t="s">
        <v>968</v>
      </c>
      <c r="E529" s="56" t="s">
        <v>969</v>
      </c>
      <c r="F529" s="43">
        <v>26.931</v>
      </c>
      <c r="G529" s="128"/>
      <c r="H529" s="128"/>
      <c r="I529" s="58"/>
      <c r="J529" s="59">
        <f aca="true" t="shared" si="159" ref="J529:J554">+($F$7-$O$952-$Q$952-$P$952-$R$952-$S$952)/($F$952-$G$952*1-$H$952*0.5)*0.646*1.0268514</f>
        <v>742.8502282779862</v>
      </c>
      <c r="K529" s="60">
        <v>0.9336178972540682</v>
      </c>
      <c r="L529" s="75">
        <v>1.003859221833791</v>
      </c>
      <c r="M529" s="63">
        <f aca="true" t="shared" si="160" ref="M529:M554">ROUND(J529*(F529-G529-H529*I529)*K529*(0.5+0.5*L529),1)</f>
        <v>18713.7</v>
      </c>
      <c r="N529" s="63">
        <f aca="true" t="shared" si="161" ref="N529:N554">ROUND(M529*0.907,1)</f>
        <v>16973.3</v>
      </c>
      <c r="O529" s="62"/>
      <c r="P529" s="76"/>
      <c r="Q529" s="77"/>
      <c r="R529" s="76"/>
      <c r="S529" s="77"/>
      <c r="T529" s="64"/>
      <c r="U529" s="45">
        <f aca="true" t="shared" si="162" ref="U529:U554">+N529+O529+T529+R529+S529+Q529</f>
        <v>16973.3</v>
      </c>
      <c r="V529" s="65"/>
    </row>
    <row r="530" spans="1:22" ht="12.75" hidden="1">
      <c r="A530" s="52">
        <v>15</v>
      </c>
      <c r="B530" s="53" t="s">
        <v>64</v>
      </c>
      <c r="C530" s="54" t="s">
        <v>52</v>
      </c>
      <c r="D530" s="55" t="s">
        <v>970</v>
      </c>
      <c r="E530" s="56" t="s">
        <v>971</v>
      </c>
      <c r="F530" s="43">
        <v>45.198</v>
      </c>
      <c r="G530" s="57"/>
      <c r="H530" s="57"/>
      <c r="I530" s="58"/>
      <c r="J530" s="59">
        <f t="shared" si="159"/>
        <v>742.8502282779862</v>
      </c>
      <c r="K530" s="60">
        <v>0.9336178972540682</v>
      </c>
      <c r="L530" s="75">
        <v>0.9957653435123054</v>
      </c>
      <c r="M530" s="63">
        <f t="shared" si="160"/>
        <v>31280.2</v>
      </c>
      <c r="N530" s="63">
        <f t="shared" si="161"/>
        <v>28371.1</v>
      </c>
      <c r="O530" s="62"/>
      <c r="P530" s="76"/>
      <c r="Q530" s="77"/>
      <c r="R530" s="76"/>
      <c r="S530" s="77"/>
      <c r="T530" s="64"/>
      <c r="U530" s="45">
        <f t="shared" si="162"/>
        <v>28371.1</v>
      </c>
      <c r="V530" s="65"/>
    </row>
    <row r="531" spans="1:22" ht="12.75" hidden="1">
      <c r="A531" s="52">
        <v>15</v>
      </c>
      <c r="B531" s="53">
        <v>10</v>
      </c>
      <c r="C531" s="54" t="s">
        <v>52</v>
      </c>
      <c r="D531" s="55" t="s">
        <v>972</v>
      </c>
      <c r="E531" s="56" t="s">
        <v>973</v>
      </c>
      <c r="F531" s="43">
        <v>8.908</v>
      </c>
      <c r="G531" s="57"/>
      <c r="H531" s="57"/>
      <c r="I531" s="58"/>
      <c r="J531" s="59">
        <f t="shared" si="159"/>
        <v>742.8502282779862</v>
      </c>
      <c r="K531" s="60">
        <v>0.9336178972540682</v>
      </c>
      <c r="L531" s="75">
        <v>1.0026586239855346</v>
      </c>
      <c r="M531" s="63">
        <f t="shared" si="160"/>
        <v>6186.3</v>
      </c>
      <c r="N531" s="63">
        <f t="shared" si="161"/>
        <v>5611</v>
      </c>
      <c r="O531" s="62"/>
      <c r="P531" s="76"/>
      <c r="Q531" s="77"/>
      <c r="R531" s="76"/>
      <c r="S531" s="77"/>
      <c r="T531" s="64"/>
      <c r="U531" s="45">
        <f t="shared" si="162"/>
        <v>5611</v>
      </c>
      <c r="V531" s="65"/>
    </row>
    <row r="532" spans="1:22" ht="12.75" hidden="1">
      <c r="A532" s="52">
        <v>15</v>
      </c>
      <c r="B532" s="53">
        <v>11</v>
      </c>
      <c r="C532" s="54" t="s">
        <v>52</v>
      </c>
      <c r="D532" s="55" t="s">
        <v>974</v>
      </c>
      <c r="E532" s="56" t="s">
        <v>975</v>
      </c>
      <c r="F532" s="43">
        <v>27.302</v>
      </c>
      <c r="G532" s="57"/>
      <c r="H532" s="57"/>
      <c r="I532" s="58"/>
      <c r="J532" s="59">
        <f t="shared" si="159"/>
        <v>742.8502282779862</v>
      </c>
      <c r="K532" s="60">
        <v>0.9336178972540682</v>
      </c>
      <c r="L532" s="75">
        <v>0.9682813993500572</v>
      </c>
      <c r="M532" s="63">
        <f t="shared" si="160"/>
        <v>18634.7</v>
      </c>
      <c r="N532" s="63">
        <f t="shared" si="161"/>
        <v>16901.7</v>
      </c>
      <c r="O532" s="62"/>
      <c r="P532" s="76"/>
      <c r="Q532" s="77"/>
      <c r="R532" s="76"/>
      <c r="S532" s="77"/>
      <c r="T532" s="64"/>
      <c r="U532" s="45">
        <f t="shared" si="162"/>
        <v>16901.7</v>
      </c>
      <c r="V532" s="65"/>
    </row>
    <row r="533" spans="1:22" ht="12.75" hidden="1">
      <c r="A533" s="52">
        <v>15</v>
      </c>
      <c r="B533" s="53">
        <v>12</v>
      </c>
      <c r="C533" s="54" t="s">
        <v>52</v>
      </c>
      <c r="D533" s="55" t="s">
        <v>976</v>
      </c>
      <c r="E533" s="56" t="s">
        <v>977</v>
      </c>
      <c r="F533" s="43">
        <v>54.733</v>
      </c>
      <c r="G533" s="57"/>
      <c r="H533" s="57"/>
      <c r="I533" s="58"/>
      <c r="J533" s="59">
        <f t="shared" si="159"/>
        <v>742.8502282779862</v>
      </c>
      <c r="K533" s="60">
        <v>0.9336178972540682</v>
      </c>
      <c r="L533" s="75">
        <v>0.9716903403013696</v>
      </c>
      <c r="M533" s="63">
        <f t="shared" si="160"/>
        <v>37422.1</v>
      </c>
      <c r="N533" s="63">
        <f t="shared" si="161"/>
        <v>33941.8</v>
      </c>
      <c r="O533" s="62"/>
      <c r="P533" s="76"/>
      <c r="Q533" s="77"/>
      <c r="R533" s="76"/>
      <c r="S533" s="77"/>
      <c r="T533" s="64"/>
      <c r="U533" s="45">
        <f t="shared" si="162"/>
        <v>33941.8</v>
      </c>
      <c r="V533" s="65"/>
    </row>
    <row r="534" spans="1:22" ht="12.75" hidden="1">
      <c r="A534" s="52">
        <v>15</v>
      </c>
      <c r="B534" s="53">
        <v>13</v>
      </c>
      <c r="C534" s="54" t="s">
        <v>52</v>
      </c>
      <c r="D534" s="55" t="s">
        <v>978</v>
      </c>
      <c r="E534" s="56" t="s">
        <v>979</v>
      </c>
      <c r="F534" s="43">
        <v>80.527</v>
      </c>
      <c r="G534" s="57"/>
      <c r="H534" s="57"/>
      <c r="I534" s="58"/>
      <c r="J534" s="59">
        <f t="shared" si="159"/>
        <v>742.8502282779862</v>
      </c>
      <c r="K534" s="60">
        <v>0.9336178972540682</v>
      </c>
      <c r="L534" s="75">
        <v>0.9708660340610856</v>
      </c>
      <c r="M534" s="63">
        <f t="shared" si="160"/>
        <v>55035</v>
      </c>
      <c r="N534" s="63">
        <f t="shared" si="161"/>
        <v>49916.7</v>
      </c>
      <c r="O534" s="62"/>
      <c r="P534" s="76"/>
      <c r="Q534" s="77"/>
      <c r="R534" s="76"/>
      <c r="S534" s="77"/>
      <c r="T534" s="64"/>
      <c r="U534" s="45">
        <f t="shared" si="162"/>
        <v>49916.7</v>
      </c>
      <c r="V534" s="65"/>
    </row>
    <row r="535" spans="1:22" ht="12.75" hidden="1">
      <c r="A535" s="52">
        <v>15</v>
      </c>
      <c r="B535" s="53">
        <v>14</v>
      </c>
      <c r="C535" s="54" t="s">
        <v>52</v>
      </c>
      <c r="D535" s="55" t="s">
        <v>980</v>
      </c>
      <c r="E535" s="56" t="s">
        <v>981</v>
      </c>
      <c r="F535" s="43">
        <v>69.01</v>
      </c>
      <c r="G535" s="57"/>
      <c r="H535" s="57"/>
      <c r="I535" s="58"/>
      <c r="J535" s="59">
        <f t="shared" si="159"/>
        <v>742.8502282779862</v>
      </c>
      <c r="K535" s="60">
        <v>0.9336178972540682</v>
      </c>
      <c r="L535" s="75">
        <v>0.980070135047636</v>
      </c>
      <c r="M535" s="63">
        <f t="shared" si="160"/>
        <v>47384.1</v>
      </c>
      <c r="N535" s="63">
        <f t="shared" si="161"/>
        <v>42977.4</v>
      </c>
      <c r="O535" s="62"/>
      <c r="P535" s="76"/>
      <c r="Q535" s="77"/>
      <c r="R535" s="76"/>
      <c r="S535" s="77"/>
      <c r="T535" s="64"/>
      <c r="U535" s="45">
        <f t="shared" si="162"/>
        <v>42977.4</v>
      </c>
      <c r="V535" s="65"/>
    </row>
    <row r="536" spans="1:22" ht="12.75" hidden="1">
      <c r="A536" s="52">
        <v>15</v>
      </c>
      <c r="B536" s="53">
        <v>15</v>
      </c>
      <c r="C536" s="54" t="s">
        <v>52</v>
      </c>
      <c r="D536" s="55" t="s">
        <v>982</v>
      </c>
      <c r="E536" s="56" t="s">
        <v>983</v>
      </c>
      <c r="F536" s="43">
        <v>18.241</v>
      </c>
      <c r="G536" s="57"/>
      <c r="H536" s="57"/>
      <c r="I536" s="58"/>
      <c r="J536" s="59">
        <f t="shared" si="159"/>
        <v>742.8502282779862</v>
      </c>
      <c r="K536" s="60">
        <v>0.9336178972540682</v>
      </c>
      <c r="L536" s="75">
        <v>0.9588514337879233</v>
      </c>
      <c r="M536" s="63">
        <f t="shared" si="160"/>
        <v>12390.5</v>
      </c>
      <c r="N536" s="63">
        <f t="shared" si="161"/>
        <v>11238.2</v>
      </c>
      <c r="O536" s="62"/>
      <c r="P536" s="76"/>
      <c r="Q536" s="77"/>
      <c r="R536" s="76"/>
      <c r="S536" s="77"/>
      <c r="T536" s="64"/>
      <c r="U536" s="45">
        <f t="shared" si="162"/>
        <v>11238.2</v>
      </c>
      <c r="V536" s="65"/>
    </row>
    <row r="537" spans="1:22" ht="12.75" hidden="1">
      <c r="A537" s="52">
        <v>15</v>
      </c>
      <c r="B537" s="53">
        <v>16</v>
      </c>
      <c r="C537" s="54" t="s">
        <v>52</v>
      </c>
      <c r="D537" s="55" t="s">
        <v>984</v>
      </c>
      <c r="E537" s="56" t="s">
        <v>985</v>
      </c>
      <c r="F537" s="43">
        <v>26.581</v>
      </c>
      <c r="G537" s="57"/>
      <c r="H537" s="57"/>
      <c r="I537" s="58"/>
      <c r="J537" s="59">
        <f t="shared" si="159"/>
        <v>742.8502282779862</v>
      </c>
      <c r="K537" s="60">
        <v>0.9336178972540682</v>
      </c>
      <c r="L537" s="75">
        <v>0.9885777211034317</v>
      </c>
      <c r="M537" s="63">
        <f t="shared" si="160"/>
        <v>18329.7</v>
      </c>
      <c r="N537" s="63">
        <f t="shared" si="161"/>
        <v>16625</v>
      </c>
      <c r="O537" s="62"/>
      <c r="P537" s="76"/>
      <c r="Q537" s="77"/>
      <c r="R537" s="76"/>
      <c r="S537" s="77"/>
      <c r="T537" s="64"/>
      <c r="U537" s="45">
        <f t="shared" si="162"/>
        <v>16625</v>
      </c>
      <c r="V537" s="65"/>
    </row>
    <row r="538" spans="1:22" ht="12.75" hidden="1">
      <c r="A538" s="52">
        <v>15</v>
      </c>
      <c r="B538" s="53">
        <v>17</v>
      </c>
      <c r="C538" s="54" t="s">
        <v>52</v>
      </c>
      <c r="D538" s="55" t="s">
        <v>986</v>
      </c>
      <c r="E538" s="56" t="s">
        <v>987</v>
      </c>
      <c r="F538" s="43">
        <v>51.513</v>
      </c>
      <c r="G538" s="57"/>
      <c r="H538" s="57"/>
      <c r="I538" s="58"/>
      <c r="J538" s="59">
        <f t="shared" si="159"/>
        <v>742.8502282779862</v>
      </c>
      <c r="K538" s="60">
        <v>0.9336178972540682</v>
      </c>
      <c r="L538" s="75">
        <v>0.9687720700405131</v>
      </c>
      <c r="M538" s="63">
        <f t="shared" si="160"/>
        <v>35168.4</v>
      </c>
      <c r="N538" s="63">
        <f t="shared" si="161"/>
        <v>31897.7</v>
      </c>
      <c r="O538" s="62"/>
      <c r="P538" s="76"/>
      <c r="Q538" s="77"/>
      <c r="R538" s="76"/>
      <c r="S538" s="77"/>
      <c r="T538" s="64"/>
      <c r="U538" s="45">
        <f t="shared" si="162"/>
        <v>31897.7</v>
      </c>
      <c r="V538" s="65"/>
    </row>
    <row r="539" spans="1:22" ht="12.75" hidden="1">
      <c r="A539" s="52">
        <v>15</v>
      </c>
      <c r="B539" s="53">
        <v>18</v>
      </c>
      <c r="C539" s="54" t="s">
        <v>52</v>
      </c>
      <c r="D539" s="55" t="s">
        <v>988</v>
      </c>
      <c r="E539" s="56" t="s">
        <v>989</v>
      </c>
      <c r="F539" s="43">
        <v>52.277</v>
      </c>
      <c r="G539" s="57"/>
      <c r="H539" s="57"/>
      <c r="I539" s="58"/>
      <c r="J539" s="59">
        <f t="shared" si="159"/>
        <v>742.8502282779862</v>
      </c>
      <c r="K539" s="60">
        <v>0.9336178972540682</v>
      </c>
      <c r="L539" s="75">
        <v>0.980889603683679</v>
      </c>
      <c r="M539" s="63">
        <f t="shared" si="160"/>
        <v>35909.7</v>
      </c>
      <c r="N539" s="63">
        <f t="shared" si="161"/>
        <v>32570.1</v>
      </c>
      <c r="O539" s="62"/>
      <c r="P539" s="76"/>
      <c r="Q539" s="77"/>
      <c r="R539" s="76"/>
      <c r="S539" s="77"/>
      <c r="T539" s="64"/>
      <c r="U539" s="45">
        <f t="shared" si="162"/>
        <v>32570.1</v>
      </c>
      <c r="V539" s="65"/>
    </row>
    <row r="540" spans="1:22" ht="12.75" hidden="1">
      <c r="A540" s="52">
        <v>15</v>
      </c>
      <c r="B540" s="53">
        <v>19</v>
      </c>
      <c r="C540" s="54" t="s">
        <v>52</v>
      </c>
      <c r="D540" s="55" t="s">
        <v>990</v>
      </c>
      <c r="E540" s="56" t="s">
        <v>991</v>
      </c>
      <c r="F540" s="43">
        <v>29.49</v>
      </c>
      <c r="G540" s="57"/>
      <c r="H540" s="57"/>
      <c r="I540" s="58"/>
      <c r="J540" s="59">
        <f t="shared" si="159"/>
        <v>742.8502282779862</v>
      </c>
      <c r="K540" s="60">
        <v>0.9336178972540682</v>
      </c>
      <c r="L540" s="75">
        <v>1.0170772095318406</v>
      </c>
      <c r="M540" s="63">
        <f t="shared" si="160"/>
        <v>20627.1</v>
      </c>
      <c r="N540" s="63">
        <f t="shared" si="161"/>
        <v>18708.8</v>
      </c>
      <c r="O540" s="62"/>
      <c r="P540" s="76"/>
      <c r="Q540" s="77"/>
      <c r="R540" s="76"/>
      <c r="S540" s="77"/>
      <c r="T540" s="64"/>
      <c r="U540" s="45">
        <f t="shared" si="162"/>
        <v>18708.8</v>
      </c>
      <c r="V540" s="65"/>
    </row>
    <row r="541" spans="1:22" ht="25.5" hidden="1">
      <c r="A541" s="52">
        <v>15</v>
      </c>
      <c r="B541" s="53">
        <v>20</v>
      </c>
      <c r="C541" s="54" t="s">
        <v>52</v>
      </c>
      <c r="D541" s="55" t="s">
        <v>992</v>
      </c>
      <c r="E541" s="56" t="s">
        <v>993</v>
      </c>
      <c r="F541" s="43">
        <v>60.25</v>
      </c>
      <c r="G541" s="57"/>
      <c r="H541" s="57"/>
      <c r="I541" s="58"/>
      <c r="J541" s="59">
        <f t="shared" si="159"/>
        <v>742.8502282779862</v>
      </c>
      <c r="K541" s="60">
        <v>0.9336178972540682</v>
      </c>
      <c r="L541" s="75">
        <v>0.9670755767272199</v>
      </c>
      <c r="M541" s="63">
        <f t="shared" si="160"/>
        <v>41097.8</v>
      </c>
      <c r="N541" s="63">
        <f t="shared" si="161"/>
        <v>37275.7</v>
      </c>
      <c r="O541" s="62"/>
      <c r="P541" s="76"/>
      <c r="Q541" s="77"/>
      <c r="R541" s="76"/>
      <c r="S541" s="77"/>
      <c r="T541" s="64"/>
      <c r="U541" s="45">
        <f t="shared" si="162"/>
        <v>37275.7</v>
      </c>
      <c r="V541" s="65"/>
    </row>
    <row r="542" spans="1:22" ht="12.75" hidden="1">
      <c r="A542" s="52">
        <v>15</v>
      </c>
      <c r="B542" s="53">
        <v>21</v>
      </c>
      <c r="C542" s="54" t="s">
        <v>52</v>
      </c>
      <c r="D542" s="55" t="s">
        <v>994</v>
      </c>
      <c r="E542" s="56" t="s">
        <v>995</v>
      </c>
      <c r="F542" s="43">
        <v>27.016</v>
      </c>
      <c r="G542" s="57"/>
      <c r="H542" s="57"/>
      <c r="I542" s="58"/>
      <c r="J542" s="59">
        <f t="shared" si="159"/>
        <v>742.8502282779862</v>
      </c>
      <c r="K542" s="60">
        <v>0.9336178972540682</v>
      </c>
      <c r="L542" s="75">
        <v>1.010943322774512</v>
      </c>
      <c r="M542" s="63">
        <f t="shared" si="160"/>
        <v>18839.2</v>
      </c>
      <c r="N542" s="63">
        <f t="shared" si="161"/>
        <v>17087.2</v>
      </c>
      <c r="O542" s="62"/>
      <c r="P542" s="76"/>
      <c r="Q542" s="77"/>
      <c r="R542" s="76"/>
      <c r="S542" s="77"/>
      <c r="T542" s="64"/>
      <c r="U542" s="45">
        <f t="shared" si="162"/>
        <v>17087.2</v>
      </c>
      <c r="V542" s="65"/>
    </row>
    <row r="543" spans="1:22" ht="25.5" hidden="1">
      <c r="A543" s="52">
        <v>15</v>
      </c>
      <c r="B543" s="53">
        <v>22</v>
      </c>
      <c r="C543" s="54" t="s">
        <v>52</v>
      </c>
      <c r="D543" s="55" t="s">
        <v>996</v>
      </c>
      <c r="E543" s="56" t="s">
        <v>997</v>
      </c>
      <c r="F543" s="43">
        <v>20.195</v>
      </c>
      <c r="G543" s="57"/>
      <c r="H543" s="57"/>
      <c r="I543" s="58"/>
      <c r="J543" s="59">
        <f t="shared" si="159"/>
        <v>742.8502282779862</v>
      </c>
      <c r="K543" s="60">
        <v>0.9336178972540682</v>
      </c>
      <c r="L543" s="75">
        <v>0.9623106168864053</v>
      </c>
      <c r="M543" s="63">
        <f t="shared" si="160"/>
        <v>13742.1</v>
      </c>
      <c r="N543" s="63">
        <f t="shared" si="161"/>
        <v>12464.1</v>
      </c>
      <c r="O543" s="62"/>
      <c r="P543" s="76"/>
      <c r="Q543" s="77"/>
      <c r="R543" s="76"/>
      <c r="S543" s="77"/>
      <c r="T543" s="64"/>
      <c r="U543" s="45">
        <f t="shared" si="162"/>
        <v>12464.1</v>
      </c>
      <c r="V543" s="65"/>
    </row>
    <row r="544" spans="1:22" ht="12.75" hidden="1">
      <c r="A544" s="52">
        <v>15</v>
      </c>
      <c r="B544" s="53">
        <v>23</v>
      </c>
      <c r="C544" s="54" t="s">
        <v>52</v>
      </c>
      <c r="D544" s="55" t="s">
        <v>998</v>
      </c>
      <c r="E544" s="56" t="s">
        <v>999</v>
      </c>
      <c r="F544" s="43">
        <v>30.649</v>
      </c>
      <c r="G544" s="57"/>
      <c r="H544" s="57"/>
      <c r="I544" s="58"/>
      <c r="J544" s="59">
        <f t="shared" si="159"/>
        <v>742.8502282779862</v>
      </c>
      <c r="K544" s="60">
        <v>0.9336178972540682</v>
      </c>
      <c r="L544" s="75">
        <v>1.0029170759888837</v>
      </c>
      <c r="M544" s="63">
        <f t="shared" si="160"/>
        <v>21287.3</v>
      </c>
      <c r="N544" s="63">
        <f t="shared" si="161"/>
        <v>19307.6</v>
      </c>
      <c r="O544" s="62"/>
      <c r="P544" s="76"/>
      <c r="Q544" s="77"/>
      <c r="R544" s="76"/>
      <c r="S544" s="77"/>
      <c r="T544" s="64"/>
      <c r="U544" s="45">
        <f t="shared" si="162"/>
        <v>19307.6</v>
      </c>
      <c r="V544" s="65"/>
    </row>
    <row r="545" spans="1:22" ht="12.75" hidden="1">
      <c r="A545" s="52">
        <v>15</v>
      </c>
      <c r="B545" s="53">
        <v>24</v>
      </c>
      <c r="C545" s="54" t="s">
        <v>52</v>
      </c>
      <c r="D545" s="55" t="s">
        <v>1000</v>
      </c>
      <c r="E545" s="56" t="s">
        <v>849</v>
      </c>
      <c r="F545" s="43">
        <v>16.065</v>
      </c>
      <c r="G545" s="57"/>
      <c r="H545" s="57"/>
      <c r="I545" s="58"/>
      <c r="J545" s="59">
        <f t="shared" si="159"/>
        <v>742.8502282779862</v>
      </c>
      <c r="K545" s="60">
        <v>0.9336178972540682</v>
      </c>
      <c r="L545" s="75">
        <v>1.0087499451813589</v>
      </c>
      <c r="M545" s="63">
        <f t="shared" si="160"/>
        <v>11190.4</v>
      </c>
      <c r="N545" s="63">
        <f t="shared" si="161"/>
        <v>10149.7</v>
      </c>
      <c r="O545" s="62"/>
      <c r="P545" s="76"/>
      <c r="Q545" s="77"/>
      <c r="R545" s="76"/>
      <c r="S545" s="77"/>
      <c r="T545" s="64"/>
      <c r="U545" s="45">
        <f t="shared" si="162"/>
        <v>10149.7</v>
      </c>
      <c r="V545" s="65"/>
    </row>
    <row r="546" spans="1:22" ht="12.75" hidden="1">
      <c r="A546" s="52">
        <v>15</v>
      </c>
      <c r="B546" s="53">
        <v>25</v>
      </c>
      <c r="C546" s="54" t="s">
        <v>52</v>
      </c>
      <c r="D546" s="55" t="s">
        <v>1001</v>
      </c>
      <c r="E546" s="56" t="s">
        <v>1002</v>
      </c>
      <c r="F546" s="43">
        <v>79.383</v>
      </c>
      <c r="G546" s="57"/>
      <c r="H546" s="57"/>
      <c r="I546" s="58"/>
      <c r="J546" s="59">
        <f t="shared" si="159"/>
        <v>742.8502282779862</v>
      </c>
      <c r="K546" s="60">
        <v>0.9336178972540682</v>
      </c>
      <c r="L546" s="75">
        <v>0.9638790056615872</v>
      </c>
      <c r="M546" s="63">
        <f t="shared" si="160"/>
        <v>54060.8</v>
      </c>
      <c r="N546" s="63">
        <f t="shared" si="161"/>
        <v>49033.1</v>
      </c>
      <c r="O546" s="62"/>
      <c r="P546" s="76"/>
      <c r="Q546" s="77"/>
      <c r="R546" s="76"/>
      <c r="S546" s="77"/>
      <c r="T546" s="64"/>
      <c r="U546" s="45">
        <f t="shared" si="162"/>
        <v>49033.1</v>
      </c>
      <c r="V546" s="65"/>
    </row>
    <row r="547" spans="1:22" ht="12.75" hidden="1">
      <c r="A547" s="52">
        <v>15</v>
      </c>
      <c r="B547" s="53">
        <v>26</v>
      </c>
      <c r="C547" s="54" t="s">
        <v>52</v>
      </c>
      <c r="D547" s="55" t="s">
        <v>1003</v>
      </c>
      <c r="E547" s="56" t="s">
        <v>1004</v>
      </c>
      <c r="F547" s="43">
        <v>37.288</v>
      </c>
      <c r="G547" s="57"/>
      <c r="H547" s="57"/>
      <c r="I547" s="58"/>
      <c r="J547" s="59">
        <f t="shared" si="159"/>
        <v>742.8502282779862</v>
      </c>
      <c r="K547" s="60">
        <v>0.9336178972540682</v>
      </c>
      <c r="L547" s="75">
        <v>0.983229338992305</v>
      </c>
      <c r="M547" s="63">
        <f t="shared" si="160"/>
        <v>25643.8</v>
      </c>
      <c r="N547" s="63">
        <f t="shared" si="161"/>
        <v>23258.9</v>
      </c>
      <c r="O547" s="62"/>
      <c r="P547" s="76"/>
      <c r="Q547" s="77"/>
      <c r="R547" s="76"/>
      <c r="S547" s="77"/>
      <c r="T547" s="64"/>
      <c r="U547" s="45">
        <f t="shared" si="162"/>
        <v>23258.9</v>
      </c>
      <c r="V547" s="65"/>
    </row>
    <row r="548" spans="1:22" s="82" customFormat="1" ht="13.5" hidden="1">
      <c r="A548" s="52">
        <v>15</v>
      </c>
      <c r="B548" s="53">
        <v>27</v>
      </c>
      <c r="C548" s="54" t="s">
        <v>52</v>
      </c>
      <c r="D548" s="55" t="s">
        <v>1005</v>
      </c>
      <c r="E548" s="56" t="s">
        <v>1006</v>
      </c>
      <c r="F548" s="43">
        <v>58.339</v>
      </c>
      <c r="G548" s="57"/>
      <c r="H548" s="57"/>
      <c r="I548" s="58"/>
      <c r="J548" s="59">
        <f t="shared" si="159"/>
        <v>742.8502282779862</v>
      </c>
      <c r="K548" s="60">
        <v>0.9336178972540682</v>
      </c>
      <c r="L548" s="75">
        <v>0.9670444149496802</v>
      </c>
      <c r="M548" s="63">
        <f t="shared" si="160"/>
        <v>39793.6</v>
      </c>
      <c r="N548" s="63">
        <f t="shared" si="161"/>
        <v>36092.8</v>
      </c>
      <c r="O548" s="62"/>
      <c r="P548" s="76"/>
      <c r="Q548" s="77"/>
      <c r="R548" s="76"/>
      <c r="S548" s="77"/>
      <c r="T548" s="64"/>
      <c r="U548" s="45">
        <f t="shared" si="162"/>
        <v>36092.8</v>
      </c>
      <c r="V548" s="65"/>
    </row>
    <row r="549" spans="1:22" s="82" customFormat="1" ht="13.5" hidden="1">
      <c r="A549" s="52">
        <v>15</v>
      </c>
      <c r="B549" s="53">
        <v>28</v>
      </c>
      <c r="C549" s="54" t="s">
        <v>52</v>
      </c>
      <c r="D549" s="55" t="s">
        <v>1007</v>
      </c>
      <c r="E549" s="56" t="s">
        <v>1008</v>
      </c>
      <c r="F549" s="43">
        <v>19.056</v>
      </c>
      <c r="G549" s="57"/>
      <c r="H549" s="57"/>
      <c r="I549" s="58"/>
      <c r="J549" s="59">
        <f t="shared" si="159"/>
        <v>742.8502282779862</v>
      </c>
      <c r="K549" s="60">
        <v>0.9336178972540682</v>
      </c>
      <c r="L549" s="75">
        <v>1.0036902471760853</v>
      </c>
      <c r="M549" s="63">
        <f t="shared" si="160"/>
        <v>13240.5</v>
      </c>
      <c r="N549" s="63">
        <f t="shared" si="161"/>
        <v>12009.1</v>
      </c>
      <c r="O549" s="62"/>
      <c r="P549" s="76"/>
      <c r="Q549" s="77"/>
      <c r="R549" s="76"/>
      <c r="S549" s="77"/>
      <c r="T549" s="64"/>
      <c r="U549" s="45">
        <f t="shared" si="162"/>
        <v>12009.1</v>
      </c>
      <c r="V549" s="65"/>
    </row>
    <row r="550" spans="1:22" s="129" customFormat="1" ht="12.75" hidden="1">
      <c r="A550" s="52">
        <v>15</v>
      </c>
      <c r="B550" s="53">
        <v>29</v>
      </c>
      <c r="C550" s="54" t="s">
        <v>52</v>
      </c>
      <c r="D550" s="55" t="s">
        <v>1009</v>
      </c>
      <c r="E550" s="56" t="s">
        <v>1010</v>
      </c>
      <c r="F550" s="43">
        <v>44.984</v>
      </c>
      <c r="G550" s="57"/>
      <c r="H550" s="57"/>
      <c r="I550" s="58"/>
      <c r="J550" s="59">
        <f t="shared" si="159"/>
        <v>742.8502282779862</v>
      </c>
      <c r="K550" s="60">
        <v>0.9336178972540682</v>
      </c>
      <c r="L550" s="75">
        <v>0.9844521965683076</v>
      </c>
      <c r="M550" s="63">
        <f t="shared" si="160"/>
        <v>30955.6</v>
      </c>
      <c r="N550" s="63">
        <f t="shared" si="161"/>
        <v>28076.7</v>
      </c>
      <c r="O550" s="62"/>
      <c r="P550" s="76"/>
      <c r="Q550" s="77"/>
      <c r="R550" s="76"/>
      <c r="S550" s="77"/>
      <c r="T550" s="64"/>
      <c r="U550" s="45">
        <f t="shared" si="162"/>
        <v>28076.7</v>
      </c>
      <c r="V550" s="65"/>
    </row>
    <row r="551" spans="1:22" s="91" customFormat="1" ht="12.75" hidden="1">
      <c r="A551" s="52">
        <v>15</v>
      </c>
      <c r="B551" s="53">
        <v>30</v>
      </c>
      <c r="C551" s="54" t="s">
        <v>52</v>
      </c>
      <c r="D551" s="55" t="s">
        <v>1011</v>
      </c>
      <c r="E551" s="56" t="s">
        <v>1012</v>
      </c>
      <c r="F551" s="43">
        <v>41.535</v>
      </c>
      <c r="G551" s="57"/>
      <c r="H551" s="57"/>
      <c r="I551" s="58"/>
      <c r="J551" s="59">
        <f t="shared" si="159"/>
        <v>742.8502282779862</v>
      </c>
      <c r="K551" s="60">
        <v>0.9336178972540682</v>
      </c>
      <c r="L551" s="75">
        <v>0.9644150964984206</v>
      </c>
      <c r="M551" s="63">
        <f t="shared" si="160"/>
        <v>28293.6</v>
      </c>
      <c r="N551" s="63">
        <f t="shared" si="161"/>
        <v>25662.3</v>
      </c>
      <c r="O551" s="62"/>
      <c r="P551" s="76"/>
      <c r="Q551" s="77"/>
      <c r="R551" s="76"/>
      <c r="S551" s="77"/>
      <c r="T551" s="64"/>
      <c r="U551" s="45">
        <f t="shared" si="162"/>
        <v>25662.3</v>
      </c>
      <c r="V551" s="65"/>
    </row>
    <row r="552" spans="1:22" s="155" customFormat="1" ht="12.75" hidden="1">
      <c r="A552" s="52">
        <v>15</v>
      </c>
      <c r="B552" s="53">
        <v>31</v>
      </c>
      <c r="C552" s="54" t="s">
        <v>52</v>
      </c>
      <c r="D552" s="55" t="s">
        <v>1013</v>
      </c>
      <c r="E552" s="56" t="s">
        <v>1014</v>
      </c>
      <c r="F552" s="43">
        <v>36.198</v>
      </c>
      <c r="G552" s="57"/>
      <c r="H552" s="57"/>
      <c r="I552" s="58"/>
      <c r="J552" s="59">
        <f t="shared" si="159"/>
        <v>742.8502282779862</v>
      </c>
      <c r="K552" s="60">
        <v>0.9336178972540682</v>
      </c>
      <c r="L552" s="75">
        <v>0.9654083265907449</v>
      </c>
      <c r="M552" s="63">
        <f t="shared" si="160"/>
        <v>24670.5</v>
      </c>
      <c r="N552" s="63">
        <f t="shared" si="161"/>
        <v>22376.1</v>
      </c>
      <c r="O552" s="62"/>
      <c r="P552" s="76"/>
      <c r="Q552" s="77"/>
      <c r="R552" s="76"/>
      <c r="S552" s="77"/>
      <c r="T552" s="64"/>
      <c r="U552" s="45">
        <f t="shared" si="162"/>
        <v>22376.1</v>
      </c>
      <c r="V552" s="65"/>
    </row>
    <row r="553" spans="1:22" ht="25.5" hidden="1">
      <c r="A553" s="52">
        <v>15</v>
      </c>
      <c r="B553" s="53">
        <v>32</v>
      </c>
      <c r="C553" s="54" t="s">
        <v>52</v>
      </c>
      <c r="D553" s="55" t="s">
        <v>1015</v>
      </c>
      <c r="E553" s="56" t="s">
        <v>1016</v>
      </c>
      <c r="F553" s="43">
        <v>20.2</v>
      </c>
      <c r="G553" s="57"/>
      <c r="H553" s="57"/>
      <c r="I553" s="58"/>
      <c r="J553" s="59">
        <f t="shared" si="159"/>
        <v>742.8502282779862</v>
      </c>
      <c r="K553" s="60">
        <v>0.9336178972540682</v>
      </c>
      <c r="L553" s="75">
        <v>0.9372144076230357</v>
      </c>
      <c r="M553" s="63">
        <f t="shared" si="160"/>
        <v>13569.7</v>
      </c>
      <c r="N553" s="63">
        <f t="shared" si="161"/>
        <v>12307.7</v>
      </c>
      <c r="O553" s="62"/>
      <c r="P553" s="76"/>
      <c r="Q553" s="77"/>
      <c r="R553" s="76"/>
      <c r="S553" s="77"/>
      <c r="T553" s="64"/>
      <c r="U553" s="45">
        <f t="shared" si="162"/>
        <v>12307.7</v>
      </c>
      <c r="V553" s="65"/>
    </row>
    <row r="554" spans="1:22" ht="12.75" hidden="1">
      <c r="A554" s="52">
        <v>15</v>
      </c>
      <c r="B554" s="53">
        <v>33</v>
      </c>
      <c r="C554" s="54" t="s">
        <v>52</v>
      </c>
      <c r="D554" s="55" t="s">
        <v>1017</v>
      </c>
      <c r="E554" s="56" t="s">
        <v>1018</v>
      </c>
      <c r="F554" s="43">
        <v>27.118</v>
      </c>
      <c r="G554" s="57"/>
      <c r="H554" s="57"/>
      <c r="I554" s="58"/>
      <c r="J554" s="59">
        <f t="shared" si="159"/>
        <v>742.8502282779862</v>
      </c>
      <c r="K554" s="60">
        <v>0.9336178972540682</v>
      </c>
      <c r="L554" s="75">
        <v>0.9596880275973481</v>
      </c>
      <c r="M554" s="63">
        <f t="shared" si="160"/>
        <v>18428.3</v>
      </c>
      <c r="N554" s="63">
        <f t="shared" si="161"/>
        <v>16714.5</v>
      </c>
      <c r="O554" s="62"/>
      <c r="P554" s="76"/>
      <c r="Q554" s="77"/>
      <c r="R554" s="76"/>
      <c r="S554" s="77"/>
      <c r="T554" s="64"/>
      <c r="U554" s="45">
        <f t="shared" si="162"/>
        <v>16714.5</v>
      </c>
      <c r="V554" s="65"/>
    </row>
    <row r="555" spans="1:22" s="154" customFormat="1" ht="26.25" hidden="1">
      <c r="A555" s="38">
        <v>15</v>
      </c>
      <c r="B555" s="39" t="s">
        <v>26</v>
      </c>
      <c r="C555" s="40" t="s">
        <v>111</v>
      </c>
      <c r="D555" s="148"/>
      <c r="E555" s="79" t="s">
        <v>112</v>
      </c>
      <c r="F555" s="43">
        <f>SUM(F556:F563)</f>
        <v>85.19500000000001</v>
      </c>
      <c r="G555" s="149">
        <f>SUM(G556:G563)</f>
        <v>0</v>
      </c>
      <c r="H555" s="149">
        <f>SUM(H556:H563)</f>
        <v>0</v>
      </c>
      <c r="I555" s="150"/>
      <c r="J555" s="151"/>
      <c r="K555" s="150"/>
      <c r="L555" s="152">
        <v>0</v>
      </c>
      <c r="M555" s="85">
        <f aca="true" t="shared" si="163" ref="M555:U555">SUM(M556:M563)</f>
        <v>58509</v>
      </c>
      <c r="N555" s="85">
        <f t="shared" si="163"/>
        <v>53067.69999999999</v>
      </c>
      <c r="O555" s="85">
        <f t="shared" si="163"/>
        <v>0</v>
      </c>
      <c r="P555" s="85">
        <f t="shared" si="163"/>
        <v>0</v>
      </c>
      <c r="Q555" s="85">
        <f t="shared" si="163"/>
        <v>0</v>
      </c>
      <c r="R555" s="85">
        <f t="shared" si="163"/>
        <v>0</v>
      </c>
      <c r="S555" s="85">
        <f t="shared" si="163"/>
        <v>0</v>
      </c>
      <c r="T555" s="85">
        <f t="shared" si="163"/>
        <v>0</v>
      </c>
      <c r="U555" s="85">
        <f t="shared" si="163"/>
        <v>53067.69999999999</v>
      </c>
      <c r="V555" s="135"/>
    </row>
    <row r="556" spans="1:22" s="82" customFormat="1" ht="26.25" hidden="1">
      <c r="A556" s="52">
        <v>15</v>
      </c>
      <c r="B556" s="53">
        <v>34</v>
      </c>
      <c r="C556" s="54" t="s">
        <v>113</v>
      </c>
      <c r="D556" s="55" t="s">
        <v>1019</v>
      </c>
      <c r="E556" s="56" t="s">
        <v>1020</v>
      </c>
      <c r="F556" s="43">
        <v>32.695</v>
      </c>
      <c r="G556" s="57"/>
      <c r="H556" s="57"/>
      <c r="I556" s="58"/>
      <c r="J556" s="59">
        <f aca="true" t="shared" si="164" ref="J556:J563">+($F$7-$O$952-$Q$952-$P$952-$R$952-$S$952)/($F$952-$G$952*1-$H$952*0.5)*0.646*1.0268514</f>
        <v>742.8502282779862</v>
      </c>
      <c r="K556" s="60">
        <v>0.9336178972540682</v>
      </c>
      <c r="L556" s="75">
        <v>1.0026586239855346</v>
      </c>
      <c r="M556" s="63">
        <f aca="true" t="shared" si="165" ref="M556:M563">ROUND(J556*(F556-G556-H556*I556)*K556*(0.5+0.5*L556),1)</f>
        <v>22705.4</v>
      </c>
      <c r="N556" s="63">
        <f aca="true" t="shared" si="166" ref="N556:N563">ROUND(M556*0.907,1)</f>
        <v>20593.8</v>
      </c>
      <c r="O556" s="62"/>
      <c r="P556" s="76"/>
      <c r="Q556" s="77"/>
      <c r="R556" s="76"/>
      <c r="S556" s="77"/>
      <c r="T556" s="64"/>
      <c r="U556" s="45">
        <f aca="true" t="shared" si="167" ref="U556:U563">+N556+O556+T556+R556+S556+Q556</f>
        <v>20593.8</v>
      </c>
      <c r="V556" s="65"/>
    </row>
    <row r="557" spans="1:22" s="129" customFormat="1" ht="25.5" hidden="1">
      <c r="A557" s="52">
        <v>15</v>
      </c>
      <c r="B557" s="53">
        <v>35</v>
      </c>
      <c r="C557" s="54" t="s">
        <v>113</v>
      </c>
      <c r="D557" s="55" t="s">
        <v>1021</v>
      </c>
      <c r="E557" s="56" t="s">
        <v>1022</v>
      </c>
      <c r="F557" s="43">
        <v>13.534</v>
      </c>
      <c r="G557" s="57"/>
      <c r="H557" s="57"/>
      <c r="I557" s="58"/>
      <c r="J557" s="59">
        <f t="shared" si="164"/>
        <v>742.8502282779862</v>
      </c>
      <c r="K557" s="60">
        <v>0.9336178972540682</v>
      </c>
      <c r="L557" s="75">
        <v>0.9708660340610856</v>
      </c>
      <c r="M557" s="63">
        <f t="shared" si="165"/>
        <v>9249.6</v>
      </c>
      <c r="N557" s="63">
        <f t="shared" si="166"/>
        <v>8389.4</v>
      </c>
      <c r="O557" s="62"/>
      <c r="P557" s="76"/>
      <c r="Q557" s="77"/>
      <c r="R557" s="76"/>
      <c r="S557" s="77"/>
      <c r="T557" s="64"/>
      <c r="U557" s="45">
        <f t="shared" si="167"/>
        <v>8389.4</v>
      </c>
      <c r="V557" s="65"/>
    </row>
    <row r="558" spans="1:22" ht="25.5" hidden="1">
      <c r="A558" s="52">
        <v>15</v>
      </c>
      <c r="B558" s="53">
        <v>36</v>
      </c>
      <c r="C558" s="54" t="s">
        <v>113</v>
      </c>
      <c r="D558" s="55" t="s">
        <v>1023</v>
      </c>
      <c r="E558" s="56" t="s">
        <v>1024</v>
      </c>
      <c r="F558" s="43">
        <v>12.747</v>
      </c>
      <c r="G558" s="57"/>
      <c r="H558" s="57"/>
      <c r="I558" s="58"/>
      <c r="J558" s="59">
        <f t="shared" si="164"/>
        <v>742.8502282779862</v>
      </c>
      <c r="K558" s="60">
        <v>0.9336178972540682</v>
      </c>
      <c r="L558" s="75">
        <v>0.9588514337879233</v>
      </c>
      <c r="M558" s="63">
        <f t="shared" si="165"/>
        <v>8658.6</v>
      </c>
      <c r="N558" s="63">
        <f t="shared" si="166"/>
        <v>7853.4</v>
      </c>
      <c r="O558" s="62"/>
      <c r="P558" s="76"/>
      <c r="Q558" s="77"/>
      <c r="R558" s="76"/>
      <c r="S558" s="77"/>
      <c r="T558" s="64"/>
      <c r="U558" s="45">
        <f t="shared" si="167"/>
        <v>7853.4</v>
      </c>
      <c r="V558" s="65"/>
    </row>
    <row r="559" spans="1:22" ht="25.5" hidden="1">
      <c r="A559" s="52">
        <v>15</v>
      </c>
      <c r="B559" s="53">
        <v>37</v>
      </c>
      <c r="C559" s="54" t="s">
        <v>113</v>
      </c>
      <c r="D559" s="55" t="s">
        <v>1025</v>
      </c>
      <c r="E559" s="56" t="s">
        <v>1026</v>
      </c>
      <c r="F559" s="43">
        <v>11.018</v>
      </c>
      <c r="G559" s="57"/>
      <c r="H559" s="57"/>
      <c r="I559" s="58"/>
      <c r="J559" s="59">
        <f t="shared" si="164"/>
        <v>742.8502282779862</v>
      </c>
      <c r="K559" s="60">
        <v>0.9336178972540682</v>
      </c>
      <c r="L559" s="75">
        <v>0.9670755767272199</v>
      </c>
      <c r="M559" s="63">
        <f t="shared" si="165"/>
        <v>7515.6</v>
      </c>
      <c r="N559" s="63">
        <f t="shared" si="166"/>
        <v>6816.6</v>
      </c>
      <c r="O559" s="62"/>
      <c r="P559" s="76"/>
      <c r="Q559" s="77"/>
      <c r="R559" s="76"/>
      <c r="S559" s="77"/>
      <c r="T559" s="64"/>
      <c r="U559" s="45">
        <f t="shared" si="167"/>
        <v>6816.6</v>
      </c>
      <c r="V559" s="65"/>
    </row>
    <row r="560" spans="1:22" ht="25.5" hidden="1">
      <c r="A560" s="52">
        <v>15</v>
      </c>
      <c r="B560" s="53">
        <v>38</v>
      </c>
      <c r="C560" s="54" t="s">
        <v>113</v>
      </c>
      <c r="D560" s="55" t="s">
        <v>1027</v>
      </c>
      <c r="E560" s="56" t="s">
        <v>1028</v>
      </c>
      <c r="F560" s="43">
        <v>6.022</v>
      </c>
      <c r="G560" s="57"/>
      <c r="H560" s="57"/>
      <c r="I560" s="58"/>
      <c r="J560" s="59">
        <f t="shared" si="164"/>
        <v>742.8502282779862</v>
      </c>
      <c r="K560" s="60">
        <v>0.9336178972540682</v>
      </c>
      <c r="L560" s="75">
        <v>0.9716903403013696</v>
      </c>
      <c r="M560" s="63">
        <f t="shared" si="165"/>
        <v>4117.4</v>
      </c>
      <c r="N560" s="63">
        <f t="shared" si="166"/>
        <v>3734.5</v>
      </c>
      <c r="O560" s="62"/>
      <c r="P560" s="76"/>
      <c r="Q560" s="77"/>
      <c r="R560" s="76"/>
      <c r="S560" s="77"/>
      <c r="T560" s="64"/>
      <c r="U560" s="45">
        <f t="shared" si="167"/>
        <v>3734.5</v>
      </c>
      <c r="V560" s="65"/>
    </row>
    <row r="561" spans="1:22" ht="25.5" hidden="1">
      <c r="A561" s="52">
        <v>15</v>
      </c>
      <c r="B561" s="53">
        <v>39</v>
      </c>
      <c r="C561" s="54" t="s">
        <v>113</v>
      </c>
      <c r="D561" s="55" t="s">
        <v>1029</v>
      </c>
      <c r="E561" s="56" t="s">
        <v>1030</v>
      </c>
      <c r="F561" s="43">
        <v>4.293</v>
      </c>
      <c r="G561" s="57"/>
      <c r="H561" s="57"/>
      <c r="I561" s="58"/>
      <c r="J561" s="59">
        <f t="shared" si="164"/>
        <v>742.8502282779862</v>
      </c>
      <c r="K561" s="60">
        <v>0.9336178972540682</v>
      </c>
      <c r="L561" s="75">
        <v>0.9682813993500572</v>
      </c>
      <c r="M561" s="63">
        <f t="shared" si="165"/>
        <v>2930.1</v>
      </c>
      <c r="N561" s="63">
        <f t="shared" si="166"/>
        <v>2657.6</v>
      </c>
      <c r="O561" s="62"/>
      <c r="P561" s="76"/>
      <c r="Q561" s="77"/>
      <c r="R561" s="76"/>
      <c r="S561" s="77"/>
      <c r="T561" s="64"/>
      <c r="U561" s="45">
        <f t="shared" si="167"/>
        <v>2657.6</v>
      </c>
      <c r="V561" s="65"/>
    </row>
    <row r="562" spans="1:22" ht="25.5" hidden="1">
      <c r="A562" s="52">
        <v>15</v>
      </c>
      <c r="B562" s="53">
        <v>40</v>
      </c>
      <c r="C562" s="54" t="s">
        <v>113</v>
      </c>
      <c r="D562" s="55" t="s">
        <v>1031</v>
      </c>
      <c r="E562" s="90" t="s">
        <v>1032</v>
      </c>
      <c r="F562" s="43">
        <v>2.583</v>
      </c>
      <c r="G562" s="57"/>
      <c r="H562" s="57"/>
      <c r="I562" s="58"/>
      <c r="J562" s="59">
        <f t="shared" si="164"/>
        <v>742.8502282779862</v>
      </c>
      <c r="K562" s="60">
        <v>0.9336178972540682</v>
      </c>
      <c r="L562" s="75">
        <v>0.9654083265907449</v>
      </c>
      <c r="M562" s="63">
        <f t="shared" si="165"/>
        <v>1760.4</v>
      </c>
      <c r="N562" s="63">
        <f t="shared" si="166"/>
        <v>1596.7</v>
      </c>
      <c r="O562" s="62"/>
      <c r="P562" s="76"/>
      <c r="Q562" s="77"/>
      <c r="R562" s="76"/>
      <c r="S562" s="77"/>
      <c r="T562" s="64"/>
      <c r="U562" s="45">
        <f t="shared" si="167"/>
        <v>1596.7</v>
      </c>
      <c r="V562" s="65"/>
    </row>
    <row r="563" spans="1:22" ht="25.5" hidden="1">
      <c r="A563" s="52">
        <v>15</v>
      </c>
      <c r="B563" s="53">
        <v>41</v>
      </c>
      <c r="C563" s="54" t="s">
        <v>113</v>
      </c>
      <c r="D563" s="55" t="s">
        <v>1033</v>
      </c>
      <c r="E563" s="56" t="s">
        <v>1034</v>
      </c>
      <c r="F563" s="43">
        <v>2.303</v>
      </c>
      <c r="G563" s="57"/>
      <c r="H563" s="57"/>
      <c r="I563" s="58"/>
      <c r="J563" s="59">
        <f t="shared" si="164"/>
        <v>742.8502282779862</v>
      </c>
      <c r="K563" s="60">
        <v>0.9336178972540682</v>
      </c>
      <c r="L563" s="75">
        <v>0.9682813993500572</v>
      </c>
      <c r="M563" s="63">
        <f t="shared" si="165"/>
        <v>1571.9</v>
      </c>
      <c r="N563" s="63">
        <f t="shared" si="166"/>
        <v>1425.7</v>
      </c>
      <c r="O563" s="62"/>
      <c r="P563" s="76"/>
      <c r="Q563" s="77"/>
      <c r="R563" s="76"/>
      <c r="S563" s="77"/>
      <c r="T563" s="64"/>
      <c r="U563" s="45">
        <f t="shared" si="167"/>
        <v>1425.7</v>
      </c>
      <c r="V563" s="65"/>
    </row>
    <row r="564" spans="1:22" ht="25.5" hidden="1">
      <c r="A564" s="170">
        <v>16</v>
      </c>
      <c r="B564" s="167" t="s">
        <v>26</v>
      </c>
      <c r="C564" s="40" t="s">
        <v>27</v>
      </c>
      <c r="D564" s="55"/>
      <c r="E564" s="168" t="s">
        <v>1035</v>
      </c>
      <c r="F564" s="43">
        <f>F565+F566+F573+F599</f>
        <v>1438.948</v>
      </c>
      <c r="G564" s="44">
        <f>+G565+G566+G573+G599</f>
        <v>0</v>
      </c>
      <c r="H564" s="44">
        <f>+H565+H566+H573+H599</f>
        <v>0</v>
      </c>
      <c r="I564" s="45"/>
      <c r="J564" s="46"/>
      <c r="K564" s="47"/>
      <c r="L564" s="48">
        <v>1.0279016596011483</v>
      </c>
      <c r="M564" s="49">
        <f aca="true" t="shared" si="168" ref="M564:U564">+M565+M566+M573+M599</f>
        <v>1628350.5999999999</v>
      </c>
      <c r="N564" s="49">
        <f t="shared" si="168"/>
        <v>1628350.6</v>
      </c>
      <c r="O564" s="49">
        <f t="shared" si="168"/>
        <v>0</v>
      </c>
      <c r="P564" s="49">
        <f t="shared" si="168"/>
        <v>621.6</v>
      </c>
      <c r="Q564" s="49">
        <f t="shared" si="168"/>
        <v>23988.1</v>
      </c>
      <c r="R564" s="49">
        <f t="shared" si="168"/>
        <v>18708.8</v>
      </c>
      <c r="S564" s="49">
        <f t="shared" si="168"/>
        <v>240.7</v>
      </c>
      <c r="T564" s="49">
        <f t="shared" si="168"/>
        <v>0</v>
      </c>
      <c r="U564" s="49">
        <f t="shared" si="168"/>
        <v>1671909.7999999998</v>
      </c>
      <c r="V564" s="65"/>
    </row>
    <row r="565" spans="1:22" ht="12.75" hidden="1">
      <c r="A565" s="52">
        <v>16</v>
      </c>
      <c r="B565" s="53" t="s">
        <v>26</v>
      </c>
      <c r="C565" s="54" t="s">
        <v>29</v>
      </c>
      <c r="D565" s="55" t="s">
        <v>1036</v>
      </c>
      <c r="E565" s="56" t="s">
        <v>31</v>
      </c>
      <c r="F565" s="43">
        <v>0</v>
      </c>
      <c r="G565" s="128"/>
      <c r="H565" s="128"/>
      <c r="I565" s="58"/>
      <c r="J565" s="59">
        <f>+($F$7-$O$952-$Q$952-$P$952-R$952-$S$952)/$F$952*0.354*0.951</f>
        <v>376.76602120660414</v>
      </c>
      <c r="K565" s="60">
        <v>0</v>
      </c>
      <c r="L565" s="48">
        <v>1.0279016596011483</v>
      </c>
      <c r="M565" s="49">
        <f>ROUND(J565*(F566+F573+F599)*(0.5+0.5*L565),1)</f>
        <v>549710.1</v>
      </c>
      <c r="N565" s="49">
        <f>M565+ROUND(SUM(M567:M572)*0.117+SUM(M574:M598)*0.093+SUM(M600:M613)*0.093,1)+0.2</f>
        <v>663016.1</v>
      </c>
      <c r="O565" s="61"/>
      <c r="P565" s="62">
        <v>621.6</v>
      </c>
      <c r="Q565" s="63">
        <v>23988.1</v>
      </c>
      <c r="R565" s="62">
        <v>18708.8</v>
      </c>
      <c r="S565" s="63">
        <v>240.7</v>
      </c>
      <c r="T565" s="64"/>
      <c r="U565" s="45">
        <f>N565+O565+P565+Q565+R565+S565+T565</f>
        <v>706575.2999999999</v>
      </c>
      <c r="V565" s="65"/>
    </row>
    <row r="566" spans="1:22" ht="13.5" hidden="1">
      <c r="A566" s="38">
        <v>16</v>
      </c>
      <c r="B566" s="39" t="s">
        <v>26</v>
      </c>
      <c r="C566" s="40" t="s">
        <v>33</v>
      </c>
      <c r="D566" s="55"/>
      <c r="E566" s="79" t="s">
        <v>34</v>
      </c>
      <c r="F566" s="43">
        <f>SUM(F567:F572)</f>
        <v>683.682</v>
      </c>
      <c r="G566" s="67">
        <f>SUM(G567:G572)</f>
        <v>0</v>
      </c>
      <c r="H566" s="68">
        <f>SUM(H567:H572)</f>
        <v>0</v>
      </c>
      <c r="I566" s="69"/>
      <c r="J566" s="59"/>
      <c r="K566" s="70"/>
      <c r="L566" s="71">
        <v>1.001342188387241</v>
      </c>
      <c r="M566" s="72">
        <f aca="true" t="shared" si="169" ref="M566:U566">SUM(M567:M572)</f>
        <v>541342.7000000001</v>
      </c>
      <c r="N566" s="72">
        <f t="shared" si="169"/>
        <v>478005.39999999997</v>
      </c>
      <c r="O566" s="72">
        <f t="shared" si="169"/>
        <v>0</v>
      </c>
      <c r="P566" s="72">
        <f t="shared" si="169"/>
        <v>0</v>
      </c>
      <c r="Q566" s="72">
        <f t="shared" si="169"/>
        <v>0</v>
      </c>
      <c r="R566" s="72">
        <f t="shared" si="169"/>
        <v>0</v>
      </c>
      <c r="S566" s="72">
        <f t="shared" si="169"/>
        <v>0</v>
      </c>
      <c r="T566" s="72">
        <f t="shared" si="169"/>
        <v>-45186.399999999994</v>
      </c>
      <c r="U566" s="72">
        <f t="shared" si="169"/>
        <v>432819</v>
      </c>
      <c r="V566" s="73"/>
    </row>
    <row r="567" spans="1:22" ht="12.75" hidden="1">
      <c r="A567" s="52">
        <v>16</v>
      </c>
      <c r="B567" s="190" t="s">
        <v>35</v>
      </c>
      <c r="C567" s="54" t="s">
        <v>36</v>
      </c>
      <c r="D567" s="55" t="s">
        <v>1037</v>
      </c>
      <c r="E567" s="192" t="s">
        <v>1038</v>
      </c>
      <c r="F567" s="43">
        <v>294.02</v>
      </c>
      <c r="G567" s="162"/>
      <c r="H567" s="162"/>
      <c r="I567" s="58"/>
      <c r="J567" s="59">
        <f aca="true" t="shared" si="170" ref="J567:J572">+($F$7-$O$952-$Q$952-$P$952-$R$952-$S$952)/($F$952-$G$952*1-$H$952*0.5)*0.646*1.0268514</f>
        <v>742.8502282779862</v>
      </c>
      <c r="K567" s="60">
        <v>1.065228053001168</v>
      </c>
      <c r="L567" s="75">
        <v>0.9871157256838256</v>
      </c>
      <c r="M567" s="63">
        <f aca="true" t="shared" si="171" ref="M567:M572">ROUND(J567*(F567-G567-H567*I567)*K567*(0.5+0.5*L567),1)</f>
        <v>231160.6</v>
      </c>
      <c r="N567" s="63">
        <f aca="true" t="shared" si="172" ref="N567:N572">ROUND(M567*0.883,1)</f>
        <v>204114.8</v>
      </c>
      <c r="O567" s="62"/>
      <c r="P567" s="76"/>
      <c r="Q567" s="77"/>
      <c r="R567" s="76"/>
      <c r="S567" s="77"/>
      <c r="T567" s="64"/>
      <c r="U567" s="45">
        <f aca="true" t="shared" si="173" ref="U567:U572">+N567+O567+T567+R567+S567+Q567</f>
        <v>204114.8</v>
      </c>
      <c r="V567" s="65"/>
    </row>
    <row r="568" spans="1:22" ht="25.5" hidden="1">
      <c r="A568" s="52">
        <v>16</v>
      </c>
      <c r="B568" s="53" t="s">
        <v>32</v>
      </c>
      <c r="C568" s="54" t="s">
        <v>36</v>
      </c>
      <c r="D568" s="55" t="s">
        <v>1039</v>
      </c>
      <c r="E568" s="78" t="s">
        <v>1040</v>
      </c>
      <c r="F568" s="43">
        <v>54.738</v>
      </c>
      <c r="G568" s="57"/>
      <c r="H568" s="57"/>
      <c r="I568" s="58"/>
      <c r="J568" s="59">
        <f t="shared" si="170"/>
        <v>742.8502282779862</v>
      </c>
      <c r="K568" s="60">
        <v>1.065228053001168</v>
      </c>
      <c r="L568" s="75">
        <v>1.0039327684951203</v>
      </c>
      <c r="M568" s="63">
        <f t="shared" si="171"/>
        <v>43399.6</v>
      </c>
      <c r="N568" s="63">
        <f t="shared" si="172"/>
        <v>38321.8</v>
      </c>
      <c r="O568" s="62"/>
      <c r="P568" s="76"/>
      <c r="Q568" s="77"/>
      <c r="R568" s="76"/>
      <c r="S568" s="77"/>
      <c r="T568" s="64"/>
      <c r="U568" s="45">
        <f t="shared" si="173"/>
        <v>38321.8</v>
      </c>
      <c r="V568" s="65"/>
    </row>
    <row r="569" spans="1:22" ht="12.75" hidden="1">
      <c r="A569" s="52">
        <v>16</v>
      </c>
      <c r="B569" s="190" t="s">
        <v>118</v>
      </c>
      <c r="C569" s="54" t="s">
        <v>36</v>
      </c>
      <c r="D569" s="55" t="s">
        <v>1041</v>
      </c>
      <c r="E569" s="78" t="s">
        <v>1042</v>
      </c>
      <c r="F569" s="43">
        <v>223.805</v>
      </c>
      <c r="G569" s="57"/>
      <c r="H569" s="57"/>
      <c r="I569" s="58"/>
      <c r="J569" s="59">
        <f t="shared" si="170"/>
        <v>742.8502282779862</v>
      </c>
      <c r="K569" s="60">
        <v>1.065228053001168</v>
      </c>
      <c r="L569" s="75">
        <v>1.007286660830019</v>
      </c>
      <c r="M569" s="63">
        <f t="shared" si="171"/>
        <v>177743.2</v>
      </c>
      <c r="N569" s="63">
        <f t="shared" si="172"/>
        <v>156947.2</v>
      </c>
      <c r="O569" s="62"/>
      <c r="P569" s="76"/>
      <c r="Q569" s="77"/>
      <c r="R569" s="76"/>
      <c r="S569" s="77"/>
      <c r="T569" s="64"/>
      <c r="U569" s="45">
        <f t="shared" si="173"/>
        <v>156947.2</v>
      </c>
      <c r="V569" s="65"/>
    </row>
    <row r="570" spans="1:22" ht="12.75" hidden="1">
      <c r="A570" s="52">
        <v>16</v>
      </c>
      <c r="B570" s="53" t="s">
        <v>127</v>
      </c>
      <c r="C570" s="54" t="s">
        <v>36</v>
      </c>
      <c r="D570" s="55" t="s">
        <v>1043</v>
      </c>
      <c r="E570" s="78" t="s">
        <v>1044</v>
      </c>
      <c r="F570" s="43">
        <v>46.717</v>
      </c>
      <c r="G570" s="57"/>
      <c r="H570" s="57"/>
      <c r="I570" s="58"/>
      <c r="J570" s="59">
        <f t="shared" si="170"/>
        <v>742.8502282779862</v>
      </c>
      <c r="K570" s="60">
        <v>1.065228053001168</v>
      </c>
      <c r="L570" s="75">
        <v>1.0485866590513189</v>
      </c>
      <c r="M570" s="63">
        <f t="shared" si="171"/>
        <v>37865.5</v>
      </c>
      <c r="N570" s="63">
        <f t="shared" si="172"/>
        <v>33435.2</v>
      </c>
      <c r="O570" s="62"/>
      <c r="P570" s="76"/>
      <c r="Q570" s="77"/>
      <c r="R570" s="76"/>
      <c r="S570" s="77"/>
      <c r="T570" s="64"/>
      <c r="U570" s="45">
        <f t="shared" si="173"/>
        <v>33435.2</v>
      </c>
      <c r="V570" s="65"/>
    </row>
    <row r="571" spans="1:22" ht="12.75" hidden="1">
      <c r="A571" s="52">
        <v>16</v>
      </c>
      <c r="B571" s="190" t="s">
        <v>51</v>
      </c>
      <c r="C571" s="54" t="s">
        <v>36</v>
      </c>
      <c r="D571" s="55" t="s">
        <v>1045</v>
      </c>
      <c r="E571" s="78" t="s">
        <v>1046</v>
      </c>
      <c r="F571" s="43">
        <v>40.413</v>
      </c>
      <c r="G571" s="57"/>
      <c r="H571" s="57"/>
      <c r="I571" s="58"/>
      <c r="J571" s="59">
        <f t="shared" si="170"/>
        <v>742.8502282779862</v>
      </c>
      <c r="K571" s="60">
        <v>1.065228053001168</v>
      </c>
      <c r="L571" s="75">
        <v>1.0231531296436531</v>
      </c>
      <c r="M571" s="63">
        <f t="shared" si="171"/>
        <v>32349.2</v>
      </c>
      <c r="N571" s="63">
        <f t="shared" si="172"/>
        <v>28564.3</v>
      </c>
      <c r="O571" s="62"/>
      <c r="P571" s="76"/>
      <c r="Q571" s="77"/>
      <c r="R571" s="76"/>
      <c r="S571" s="77"/>
      <c r="T571" s="64">
        <f>-ROUND(N571,1)</f>
        <v>-28564.3</v>
      </c>
      <c r="U571" s="45">
        <f t="shared" si="173"/>
        <v>0</v>
      </c>
      <c r="V571" s="65"/>
    </row>
    <row r="572" spans="1:22" ht="12.75" hidden="1">
      <c r="A572" s="52">
        <v>16</v>
      </c>
      <c r="B572" s="190" t="s">
        <v>55</v>
      </c>
      <c r="C572" s="54" t="s">
        <v>36</v>
      </c>
      <c r="D572" s="55" t="s">
        <v>1047</v>
      </c>
      <c r="E572" s="78" t="s">
        <v>1048</v>
      </c>
      <c r="F572" s="43">
        <v>23.989</v>
      </c>
      <c r="G572" s="57"/>
      <c r="H572" s="57"/>
      <c r="I572" s="58"/>
      <c r="J572" s="59">
        <f t="shared" si="170"/>
        <v>742.8502282779862</v>
      </c>
      <c r="K572" s="60">
        <v>1.065228053001168</v>
      </c>
      <c r="L572" s="75">
        <v>0.9833563226856143</v>
      </c>
      <c r="M572" s="63">
        <f t="shared" si="171"/>
        <v>18824.6</v>
      </c>
      <c r="N572" s="63">
        <f t="shared" si="172"/>
        <v>16622.1</v>
      </c>
      <c r="O572" s="62"/>
      <c r="P572" s="76"/>
      <c r="Q572" s="77"/>
      <c r="R572" s="76"/>
      <c r="S572" s="77"/>
      <c r="T572" s="64">
        <f>-ROUND(N572,1)</f>
        <v>-16622.1</v>
      </c>
      <c r="U572" s="45">
        <f t="shared" si="173"/>
        <v>0</v>
      </c>
      <c r="V572" s="65"/>
    </row>
    <row r="573" spans="1:22" s="82" customFormat="1" ht="28.5" customHeight="1" hidden="1">
      <c r="A573" s="38">
        <v>16</v>
      </c>
      <c r="B573" s="39" t="s">
        <v>26</v>
      </c>
      <c r="C573" s="40" t="s">
        <v>49</v>
      </c>
      <c r="D573" s="55"/>
      <c r="E573" s="79" t="s">
        <v>50</v>
      </c>
      <c r="F573" s="43">
        <f>SUM(F574:F598)</f>
        <v>661.3850000000001</v>
      </c>
      <c r="G573" s="67">
        <f>SUM(G574:G598)</f>
        <v>0</v>
      </c>
      <c r="H573" s="67">
        <f>SUM(H574:H598)</f>
        <v>0</v>
      </c>
      <c r="I573" s="69"/>
      <c r="J573" s="80"/>
      <c r="K573" s="70"/>
      <c r="L573" s="71">
        <v>1.0515266689613836</v>
      </c>
      <c r="M573" s="72">
        <f aca="true" t="shared" si="174" ref="M573:U573">SUM(M574:M598)</f>
        <v>470263.1</v>
      </c>
      <c r="N573" s="72">
        <f t="shared" si="174"/>
        <v>426528.5</v>
      </c>
      <c r="O573" s="72">
        <f t="shared" si="174"/>
        <v>0</v>
      </c>
      <c r="P573" s="72">
        <f t="shared" si="174"/>
        <v>0</v>
      </c>
      <c r="Q573" s="72">
        <f t="shared" si="174"/>
        <v>0</v>
      </c>
      <c r="R573" s="72">
        <f t="shared" si="174"/>
        <v>0</v>
      </c>
      <c r="S573" s="72">
        <f t="shared" si="174"/>
        <v>0</v>
      </c>
      <c r="T573" s="72">
        <f t="shared" si="174"/>
        <v>45186.399999999994</v>
      </c>
      <c r="U573" s="72">
        <f t="shared" si="174"/>
        <v>471714.89999999997</v>
      </c>
      <c r="V573" s="193"/>
    </row>
    <row r="574" spans="1:22" s="82" customFormat="1" ht="13.5" hidden="1">
      <c r="A574" s="52">
        <v>16</v>
      </c>
      <c r="B574" s="190" t="s">
        <v>58</v>
      </c>
      <c r="C574" s="54" t="s">
        <v>52</v>
      </c>
      <c r="D574" s="55" t="s">
        <v>1049</v>
      </c>
      <c r="E574" s="56" t="s">
        <v>1050</v>
      </c>
      <c r="F574" s="43">
        <v>21.288</v>
      </c>
      <c r="G574" s="128"/>
      <c r="H574" s="57"/>
      <c r="I574" s="58"/>
      <c r="J574" s="59">
        <f aca="true" t="shared" si="175" ref="J574:J598">+($F$7-$O$952-$Q$952-$P$952-$R$952-$S$952)/($F$952-$G$952*1-$H$952*0.5)*0.646*1.0268514</f>
        <v>742.8502282779862</v>
      </c>
      <c r="K574" s="60">
        <v>0.9336178972540682</v>
      </c>
      <c r="L574" s="75">
        <v>1.0548438971685086</v>
      </c>
      <c r="M574" s="63">
        <f aca="true" t="shared" si="176" ref="M574:M598">ROUND(J574*(F574-G574-H574*I574)*K574*(0.5+0.5*L574),1)</f>
        <v>15168.9</v>
      </c>
      <c r="N574" s="63">
        <f aca="true" t="shared" si="177" ref="N574:N598">ROUND(M574*0.907,1)</f>
        <v>13758.2</v>
      </c>
      <c r="O574" s="62"/>
      <c r="P574" s="76"/>
      <c r="Q574" s="77"/>
      <c r="R574" s="76"/>
      <c r="S574" s="77"/>
      <c r="T574" s="64"/>
      <c r="U574" s="45">
        <f aca="true" t="shared" si="178" ref="U574:U598">+N574+O574+T574+R574+S574+Q574</f>
        <v>13758.2</v>
      </c>
      <c r="V574" s="65"/>
    </row>
    <row r="575" spans="1:22" s="129" customFormat="1" ht="12.75" hidden="1">
      <c r="A575" s="52">
        <v>16</v>
      </c>
      <c r="B575" s="53" t="s">
        <v>61</v>
      </c>
      <c r="C575" s="54" t="s">
        <v>52</v>
      </c>
      <c r="D575" s="55" t="s">
        <v>1051</v>
      </c>
      <c r="E575" s="56" t="s">
        <v>1052</v>
      </c>
      <c r="F575" s="43">
        <v>29.67</v>
      </c>
      <c r="G575" s="57"/>
      <c r="H575" s="57"/>
      <c r="I575" s="58"/>
      <c r="J575" s="59">
        <f t="shared" si="175"/>
        <v>742.8502282779862</v>
      </c>
      <c r="K575" s="60">
        <v>0.9336178972540682</v>
      </c>
      <c r="L575" s="75">
        <v>1.0911191259686845</v>
      </c>
      <c r="M575" s="63">
        <f t="shared" si="176"/>
        <v>21514.8</v>
      </c>
      <c r="N575" s="63">
        <f t="shared" si="177"/>
        <v>19513.9</v>
      </c>
      <c r="O575" s="62"/>
      <c r="P575" s="76"/>
      <c r="Q575" s="77"/>
      <c r="R575" s="76"/>
      <c r="S575" s="77"/>
      <c r="T575" s="64">
        <f>ROUND(N572,1)</f>
        <v>16622.1</v>
      </c>
      <c r="U575" s="45">
        <f t="shared" si="178"/>
        <v>36136</v>
      </c>
      <c r="V575" s="65"/>
    </row>
    <row r="576" spans="1:22" s="91" customFormat="1" ht="12.75" hidden="1">
      <c r="A576" s="52">
        <v>16</v>
      </c>
      <c r="B576" s="190" t="s">
        <v>64</v>
      </c>
      <c r="C576" s="54" t="s">
        <v>52</v>
      </c>
      <c r="D576" s="55" t="s">
        <v>1053</v>
      </c>
      <c r="E576" s="56" t="s">
        <v>1054</v>
      </c>
      <c r="F576" s="43">
        <v>28.713</v>
      </c>
      <c r="G576" s="57"/>
      <c r="H576" s="57"/>
      <c r="I576" s="58"/>
      <c r="J576" s="59">
        <f t="shared" si="175"/>
        <v>742.8502282779862</v>
      </c>
      <c r="K576" s="60">
        <v>0.9336178972540682</v>
      </c>
      <c r="L576" s="75">
        <v>1.0892225810636276</v>
      </c>
      <c r="M576" s="63">
        <f t="shared" si="176"/>
        <v>20801.9</v>
      </c>
      <c r="N576" s="63">
        <f t="shared" si="177"/>
        <v>18867.3</v>
      </c>
      <c r="O576" s="62"/>
      <c r="P576" s="76"/>
      <c r="Q576" s="77"/>
      <c r="R576" s="76"/>
      <c r="S576" s="77"/>
      <c r="T576" s="64"/>
      <c r="U576" s="45">
        <f t="shared" si="178"/>
        <v>18867.3</v>
      </c>
      <c r="V576" s="65"/>
    </row>
    <row r="577" spans="1:22" s="155" customFormat="1" ht="12.75" hidden="1">
      <c r="A577" s="52">
        <v>16</v>
      </c>
      <c r="B577" s="53">
        <v>10</v>
      </c>
      <c r="C577" s="54" t="s">
        <v>52</v>
      </c>
      <c r="D577" s="55" t="s">
        <v>1055</v>
      </c>
      <c r="E577" s="56" t="s">
        <v>1056</v>
      </c>
      <c r="F577" s="43">
        <v>22.539</v>
      </c>
      <c r="G577" s="57"/>
      <c r="H577" s="57"/>
      <c r="I577" s="58"/>
      <c r="J577" s="59">
        <f t="shared" si="175"/>
        <v>742.8502282779862</v>
      </c>
      <c r="K577" s="60">
        <v>0.9336178972540682</v>
      </c>
      <c r="L577" s="75">
        <v>1.0391189029671415</v>
      </c>
      <c r="M577" s="63">
        <f t="shared" si="176"/>
        <v>15937.4</v>
      </c>
      <c r="N577" s="63">
        <f t="shared" si="177"/>
        <v>14455.2</v>
      </c>
      <c r="O577" s="62"/>
      <c r="P577" s="76"/>
      <c r="Q577" s="77"/>
      <c r="R577" s="76"/>
      <c r="S577" s="77"/>
      <c r="T577" s="64"/>
      <c r="U577" s="45">
        <f t="shared" si="178"/>
        <v>14455.2</v>
      </c>
      <c r="V577" s="65"/>
    </row>
    <row r="578" spans="1:22" ht="12.75" hidden="1">
      <c r="A578" s="52">
        <v>16</v>
      </c>
      <c r="B578" s="190">
        <v>11</v>
      </c>
      <c r="C578" s="54" t="s">
        <v>52</v>
      </c>
      <c r="D578" s="55" t="s">
        <v>1057</v>
      </c>
      <c r="E578" s="56" t="s">
        <v>1058</v>
      </c>
      <c r="F578" s="43">
        <v>18.963</v>
      </c>
      <c r="G578" s="57"/>
      <c r="H578" s="57"/>
      <c r="I578" s="58"/>
      <c r="J578" s="59">
        <f t="shared" si="175"/>
        <v>742.8502282779862</v>
      </c>
      <c r="K578" s="60">
        <v>0.9336178972540682</v>
      </c>
      <c r="L578" s="75">
        <v>1.0277161949716127</v>
      </c>
      <c r="M578" s="63">
        <f t="shared" si="176"/>
        <v>13333.8</v>
      </c>
      <c r="N578" s="63">
        <f t="shared" si="177"/>
        <v>12093.8</v>
      </c>
      <c r="O578" s="62"/>
      <c r="P578" s="76"/>
      <c r="Q578" s="77"/>
      <c r="R578" s="76"/>
      <c r="S578" s="77"/>
      <c r="T578" s="64"/>
      <c r="U578" s="45">
        <f t="shared" si="178"/>
        <v>12093.8</v>
      </c>
      <c r="V578" s="65"/>
    </row>
    <row r="579" spans="1:22" ht="12.75" hidden="1">
      <c r="A579" s="52">
        <v>16</v>
      </c>
      <c r="B579" s="53">
        <v>12</v>
      </c>
      <c r="C579" s="54" t="s">
        <v>52</v>
      </c>
      <c r="D579" s="55" t="s">
        <v>1059</v>
      </c>
      <c r="E579" s="56" t="s">
        <v>1060</v>
      </c>
      <c r="F579" s="43">
        <v>34.641</v>
      </c>
      <c r="G579" s="57"/>
      <c r="H579" s="57"/>
      <c r="I579" s="58"/>
      <c r="J579" s="59">
        <f t="shared" si="175"/>
        <v>742.8502282779862</v>
      </c>
      <c r="K579" s="60">
        <v>0.9336178972540682</v>
      </c>
      <c r="L579" s="75">
        <v>1.0543458997117297</v>
      </c>
      <c r="M579" s="63">
        <f t="shared" si="176"/>
        <v>24677.7</v>
      </c>
      <c r="N579" s="63">
        <f t="shared" si="177"/>
        <v>22382.7</v>
      </c>
      <c r="O579" s="62"/>
      <c r="P579" s="76"/>
      <c r="Q579" s="77"/>
      <c r="R579" s="76"/>
      <c r="S579" s="77"/>
      <c r="T579" s="64"/>
      <c r="U579" s="45">
        <f t="shared" si="178"/>
        <v>22382.7</v>
      </c>
      <c r="V579" s="65"/>
    </row>
    <row r="580" spans="1:22" ht="12.75" hidden="1">
      <c r="A580" s="52">
        <v>16</v>
      </c>
      <c r="B580" s="190">
        <v>13</v>
      </c>
      <c r="C580" s="54" t="s">
        <v>52</v>
      </c>
      <c r="D580" s="55" t="s">
        <v>1061</v>
      </c>
      <c r="E580" s="56" t="s">
        <v>1062</v>
      </c>
      <c r="F580" s="43">
        <v>34.085</v>
      </c>
      <c r="G580" s="57"/>
      <c r="H580" s="57"/>
      <c r="I580" s="58"/>
      <c r="J580" s="59">
        <f t="shared" si="175"/>
        <v>742.8502282779862</v>
      </c>
      <c r="K580" s="60">
        <v>0.9336178972540682</v>
      </c>
      <c r="L580" s="75">
        <v>1.040741188653814</v>
      </c>
      <c r="M580" s="63">
        <f t="shared" si="176"/>
        <v>24120.8</v>
      </c>
      <c r="N580" s="63">
        <f t="shared" si="177"/>
        <v>21877.6</v>
      </c>
      <c r="O580" s="62"/>
      <c r="P580" s="76"/>
      <c r="Q580" s="77"/>
      <c r="R580" s="76"/>
      <c r="S580" s="77"/>
      <c r="T580" s="64"/>
      <c r="U580" s="45">
        <f t="shared" si="178"/>
        <v>21877.6</v>
      </c>
      <c r="V580" s="65"/>
    </row>
    <row r="581" spans="1:22" ht="12.75" hidden="1">
      <c r="A581" s="52">
        <v>16</v>
      </c>
      <c r="B581" s="53">
        <v>14</v>
      </c>
      <c r="C581" s="54" t="s">
        <v>52</v>
      </c>
      <c r="D581" s="55" t="s">
        <v>1063</v>
      </c>
      <c r="E581" s="56" t="s">
        <v>1064</v>
      </c>
      <c r="F581" s="43">
        <v>42.406</v>
      </c>
      <c r="G581" s="57"/>
      <c r="H581" s="57"/>
      <c r="I581" s="58"/>
      <c r="J581" s="59">
        <f t="shared" si="175"/>
        <v>742.8502282779862</v>
      </c>
      <c r="K581" s="60">
        <v>0.9336178972540682</v>
      </c>
      <c r="L581" s="75">
        <v>1.061297039742876</v>
      </c>
      <c r="M581" s="63">
        <f t="shared" si="176"/>
        <v>30311.6</v>
      </c>
      <c r="N581" s="63">
        <f t="shared" si="177"/>
        <v>27492.6</v>
      </c>
      <c r="O581" s="62"/>
      <c r="P581" s="76"/>
      <c r="Q581" s="77"/>
      <c r="R581" s="76"/>
      <c r="S581" s="77"/>
      <c r="T581" s="64"/>
      <c r="U581" s="45">
        <f t="shared" si="178"/>
        <v>27492.6</v>
      </c>
      <c r="V581" s="65"/>
    </row>
    <row r="582" spans="1:22" ht="12.75" hidden="1">
      <c r="A582" s="52">
        <v>16</v>
      </c>
      <c r="B582" s="190">
        <v>15</v>
      </c>
      <c r="C582" s="54" t="s">
        <v>52</v>
      </c>
      <c r="D582" s="55" t="s">
        <v>1065</v>
      </c>
      <c r="E582" s="56" t="s">
        <v>1066</v>
      </c>
      <c r="F582" s="43">
        <v>19.493</v>
      </c>
      <c r="G582" s="57"/>
      <c r="H582" s="57"/>
      <c r="I582" s="58"/>
      <c r="J582" s="59">
        <f t="shared" si="175"/>
        <v>742.8502282779862</v>
      </c>
      <c r="K582" s="60">
        <v>0.9336178972540682</v>
      </c>
      <c r="L582" s="75">
        <v>1.0615520944041534</v>
      </c>
      <c r="M582" s="63">
        <f t="shared" si="176"/>
        <v>13935.2</v>
      </c>
      <c r="N582" s="63">
        <f t="shared" si="177"/>
        <v>12639.2</v>
      </c>
      <c r="O582" s="62"/>
      <c r="P582" s="76"/>
      <c r="Q582" s="77"/>
      <c r="R582" s="76"/>
      <c r="S582" s="77"/>
      <c r="T582" s="64"/>
      <c r="U582" s="45">
        <f t="shared" si="178"/>
        <v>12639.2</v>
      </c>
      <c r="V582" s="65"/>
    </row>
    <row r="583" spans="1:22" ht="12.75" hidden="1">
      <c r="A583" s="52">
        <v>16</v>
      </c>
      <c r="B583" s="190">
        <v>17</v>
      </c>
      <c r="C583" s="54" t="s">
        <v>52</v>
      </c>
      <c r="D583" s="55" t="s">
        <v>1067</v>
      </c>
      <c r="E583" s="56" t="s">
        <v>1068</v>
      </c>
      <c r="F583" s="43">
        <v>17.957</v>
      </c>
      <c r="G583" s="57"/>
      <c r="H583" s="57"/>
      <c r="I583" s="58"/>
      <c r="J583" s="59">
        <f t="shared" si="175"/>
        <v>742.8502282779862</v>
      </c>
      <c r="K583" s="60">
        <v>0.9336178972540682</v>
      </c>
      <c r="L583" s="75">
        <v>1.0802263568739574</v>
      </c>
      <c r="M583" s="63">
        <f t="shared" si="176"/>
        <v>12953.4</v>
      </c>
      <c r="N583" s="63">
        <f t="shared" si="177"/>
        <v>11748.7</v>
      </c>
      <c r="O583" s="62"/>
      <c r="P583" s="76"/>
      <c r="Q583" s="77"/>
      <c r="R583" s="76"/>
      <c r="S583" s="77"/>
      <c r="T583" s="64"/>
      <c r="U583" s="45">
        <f t="shared" si="178"/>
        <v>11748.7</v>
      </c>
      <c r="V583" s="65"/>
    </row>
    <row r="584" spans="1:22" s="82" customFormat="1" ht="13.5" hidden="1">
      <c r="A584" s="52">
        <v>16</v>
      </c>
      <c r="B584" s="190">
        <v>18</v>
      </c>
      <c r="C584" s="54" t="s">
        <v>52</v>
      </c>
      <c r="D584" s="55" t="s">
        <v>1069</v>
      </c>
      <c r="E584" s="56" t="s">
        <v>1070</v>
      </c>
      <c r="F584" s="43">
        <v>43.157</v>
      </c>
      <c r="G584" s="57"/>
      <c r="H584" s="57"/>
      <c r="I584" s="58"/>
      <c r="J584" s="59">
        <f t="shared" si="175"/>
        <v>742.8502282779862</v>
      </c>
      <c r="K584" s="60">
        <v>0.9336178972540682</v>
      </c>
      <c r="L584" s="75">
        <v>1.0430250502784126</v>
      </c>
      <c r="M584" s="63">
        <f t="shared" si="176"/>
        <v>30574.9</v>
      </c>
      <c r="N584" s="63">
        <f t="shared" si="177"/>
        <v>27731.4</v>
      </c>
      <c r="O584" s="62"/>
      <c r="P584" s="76"/>
      <c r="Q584" s="77"/>
      <c r="R584" s="76"/>
      <c r="S584" s="77"/>
      <c r="T584" s="64"/>
      <c r="U584" s="45">
        <f t="shared" si="178"/>
        <v>27731.4</v>
      </c>
      <c r="V584" s="65"/>
    </row>
    <row r="585" spans="1:22" s="129" customFormat="1" ht="12.75" hidden="1">
      <c r="A585" s="52">
        <v>16</v>
      </c>
      <c r="B585" s="190">
        <v>19</v>
      </c>
      <c r="C585" s="54" t="s">
        <v>52</v>
      </c>
      <c r="D585" s="55" t="s">
        <v>1071</v>
      </c>
      <c r="E585" s="56" t="s">
        <v>1072</v>
      </c>
      <c r="F585" s="43">
        <v>31.896</v>
      </c>
      <c r="G585" s="57"/>
      <c r="H585" s="57"/>
      <c r="I585" s="58"/>
      <c r="J585" s="59">
        <f t="shared" si="175"/>
        <v>742.8502282779862</v>
      </c>
      <c r="K585" s="60">
        <v>0.9336178972540682</v>
      </c>
      <c r="L585" s="75">
        <v>1.0846599956873333</v>
      </c>
      <c r="M585" s="63">
        <f t="shared" si="176"/>
        <v>23057.5</v>
      </c>
      <c r="N585" s="63">
        <f t="shared" si="177"/>
        <v>20913.2</v>
      </c>
      <c r="O585" s="62"/>
      <c r="P585" s="76"/>
      <c r="Q585" s="77"/>
      <c r="R585" s="76"/>
      <c r="S585" s="77"/>
      <c r="T585" s="64"/>
      <c r="U585" s="45">
        <f t="shared" si="178"/>
        <v>20913.2</v>
      </c>
      <c r="V585" s="65"/>
    </row>
    <row r="586" spans="1:22" ht="12.75" hidden="1">
      <c r="A586" s="52">
        <v>16</v>
      </c>
      <c r="B586" s="190">
        <v>20</v>
      </c>
      <c r="C586" s="54" t="s">
        <v>52</v>
      </c>
      <c r="D586" s="55" t="s">
        <v>1073</v>
      </c>
      <c r="E586" s="56" t="s">
        <v>1074</v>
      </c>
      <c r="F586" s="43">
        <v>19.582</v>
      </c>
      <c r="G586" s="57"/>
      <c r="H586" s="57"/>
      <c r="I586" s="58"/>
      <c r="J586" s="59">
        <f t="shared" si="175"/>
        <v>742.8502282779862</v>
      </c>
      <c r="K586" s="60">
        <v>0.9336178972540682</v>
      </c>
      <c r="L586" s="75">
        <v>1.033030622236053</v>
      </c>
      <c r="M586" s="63">
        <f t="shared" si="176"/>
        <v>13805.2</v>
      </c>
      <c r="N586" s="63">
        <f t="shared" si="177"/>
        <v>12521.3</v>
      </c>
      <c r="O586" s="62"/>
      <c r="P586" s="76"/>
      <c r="Q586" s="77"/>
      <c r="R586" s="76"/>
      <c r="S586" s="77"/>
      <c r="T586" s="64"/>
      <c r="U586" s="45">
        <f t="shared" si="178"/>
        <v>12521.3</v>
      </c>
      <c r="V586" s="65"/>
    </row>
    <row r="587" spans="1:22" ht="12.75" hidden="1">
      <c r="A587" s="52">
        <v>16</v>
      </c>
      <c r="B587" s="190">
        <v>21</v>
      </c>
      <c r="C587" s="54" t="s">
        <v>52</v>
      </c>
      <c r="D587" s="55" t="s">
        <v>1075</v>
      </c>
      <c r="E587" s="56" t="s">
        <v>1076</v>
      </c>
      <c r="F587" s="43">
        <v>32.011</v>
      </c>
      <c r="G587" s="57"/>
      <c r="H587" s="57"/>
      <c r="I587" s="58"/>
      <c r="J587" s="59">
        <f t="shared" si="175"/>
        <v>742.8502282779862</v>
      </c>
      <c r="K587" s="60">
        <v>0.9336178972540682</v>
      </c>
      <c r="L587" s="75">
        <v>1.0717615732371168</v>
      </c>
      <c r="M587" s="63">
        <f t="shared" si="176"/>
        <v>22997.4</v>
      </c>
      <c r="N587" s="63">
        <f t="shared" si="177"/>
        <v>20858.6</v>
      </c>
      <c r="O587" s="62"/>
      <c r="P587" s="76"/>
      <c r="Q587" s="77"/>
      <c r="R587" s="76"/>
      <c r="S587" s="77"/>
      <c r="T587" s="64">
        <f>ROUND(N571,1)</f>
        <v>28564.3</v>
      </c>
      <c r="U587" s="45">
        <f t="shared" si="178"/>
        <v>49422.899999999994</v>
      </c>
      <c r="V587" s="65"/>
    </row>
    <row r="588" spans="1:22" ht="12.75" hidden="1">
      <c r="A588" s="52">
        <v>16</v>
      </c>
      <c r="B588" s="190">
        <v>22</v>
      </c>
      <c r="C588" s="54" t="s">
        <v>52</v>
      </c>
      <c r="D588" s="55" t="s">
        <v>1077</v>
      </c>
      <c r="E588" s="56" t="s">
        <v>1078</v>
      </c>
      <c r="F588" s="43">
        <v>34.554</v>
      </c>
      <c r="G588" s="57"/>
      <c r="H588" s="57"/>
      <c r="I588" s="58"/>
      <c r="J588" s="59">
        <f t="shared" si="175"/>
        <v>742.8502282779862</v>
      </c>
      <c r="K588" s="60">
        <v>0.9336178972540682</v>
      </c>
      <c r="L588" s="75">
        <v>1.0512832847623172</v>
      </c>
      <c r="M588" s="63">
        <f t="shared" si="176"/>
        <v>24579</v>
      </c>
      <c r="N588" s="63">
        <f t="shared" si="177"/>
        <v>22293.2</v>
      </c>
      <c r="O588" s="62"/>
      <c r="P588" s="76"/>
      <c r="Q588" s="77"/>
      <c r="R588" s="76"/>
      <c r="S588" s="77"/>
      <c r="T588" s="64"/>
      <c r="U588" s="45">
        <f t="shared" si="178"/>
        <v>22293.2</v>
      </c>
      <c r="V588" s="65"/>
    </row>
    <row r="589" spans="1:22" ht="12.75" hidden="1">
      <c r="A589" s="52">
        <v>16</v>
      </c>
      <c r="B589" s="190">
        <v>23</v>
      </c>
      <c r="C589" s="54" t="s">
        <v>52</v>
      </c>
      <c r="D589" s="55" t="s">
        <v>1079</v>
      </c>
      <c r="E589" s="56" t="s">
        <v>1080</v>
      </c>
      <c r="F589" s="43">
        <v>24.177</v>
      </c>
      <c r="G589" s="57"/>
      <c r="H589" s="57"/>
      <c r="I589" s="58"/>
      <c r="J589" s="59">
        <f t="shared" si="175"/>
        <v>742.8502282779862</v>
      </c>
      <c r="K589" s="60">
        <v>0.9336178972540682</v>
      </c>
      <c r="L589" s="75">
        <v>1.0494826392531995</v>
      </c>
      <c r="M589" s="63">
        <f t="shared" si="176"/>
        <v>17182.5</v>
      </c>
      <c r="N589" s="63">
        <f t="shared" si="177"/>
        <v>15584.5</v>
      </c>
      <c r="O589" s="62"/>
      <c r="P589" s="76"/>
      <c r="Q589" s="77"/>
      <c r="R589" s="76"/>
      <c r="S589" s="77"/>
      <c r="T589" s="64"/>
      <c r="U589" s="45">
        <f t="shared" si="178"/>
        <v>15584.5</v>
      </c>
      <c r="V589" s="65"/>
    </row>
    <row r="590" spans="1:22" ht="12.75" hidden="1">
      <c r="A590" s="52">
        <v>16</v>
      </c>
      <c r="B590" s="190">
        <v>24</v>
      </c>
      <c r="C590" s="54" t="s">
        <v>52</v>
      </c>
      <c r="D590" s="55" t="s">
        <v>1081</v>
      </c>
      <c r="E590" s="56" t="s">
        <v>1082</v>
      </c>
      <c r="F590" s="43">
        <v>14.483</v>
      </c>
      <c r="G590" s="57"/>
      <c r="H590" s="57"/>
      <c r="I590" s="58"/>
      <c r="J590" s="59">
        <f t="shared" si="175"/>
        <v>742.8502282779862</v>
      </c>
      <c r="K590" s="60">
        <v>0.9336178972540682</v>
      </c>
      <c r="L590" s="75">
        <v>1.0393374752093487</v>
      </c>
      <c r="M590" s="63">
        <f t="shared" si="176"/>
        <v>10242.1</v>
      </c>
      <c r="N590" s="63">
        <f t="shared" si="177"/>
        <v>9289.6</v>
      </c>
      <c r="O590" s="62"/>
      <c r="P590" s="76"/>
      <c r="Q590" s="77"/>
      <c r="R590" s="76"/>
      <c r="S590" s="77"/>
      <c r="T590" s="64"/>
      <c r="U590" s="45">
        <f t="shared" si="178"/>
        <v>9289.6</v>
      </c>
      <c r="V590" s="65"/>
    </row>
    <row r="591" spans="1:22" ht="12.75" hidden="1">
      <c r="A591" s="52">
        <v>16</v>
      </c>
      <c r="B591" s="190">
        <v>25</v>
      </c>
      <c r="C591" s="54" t="s">
        <v>52</v>
      </c>
      <c r="D591" s="55" t="s">
        <v>1083</v>
      </c>
      <c r="E591" s="56" t="s">
        <v>1084</v>
      </c>
      <c r="F591" s="43">
        <v>67.122</v>
      </c>
      <c r="G591" s="57"/>
      <c r="H591" s="57"/>
      <c r="I591" s="58"/>
      <c r="J591" s="59">
        <f t="shared" si="175"/>
        <v>742.8502282779862</v>
      </c>
      <c r="K591" s="60">
        <v>0.9336178972540682</v>
      </c>
      <c r="L591" s="75">
        <v>1.0181234145041302</v>
      </c>
      <c r="M591" s="63">
        <f t="shared" si="176"/>
        <v>46973.5</v>
      </c>
      <c r="N591" s="63">
        <f t="shared" si="177"/>
        <v>42605</v>
      </c>
      <c r="O591" s="62"/>
      <c r="P591" s="76"/>
      <c r="Q591" s="77"/>
      <c r="R591" s="76"/>
      <c r="S591" s="77"/>
      <c r="T591" s="64"/>
      <c r="U591" s="45">
        <f t="shared" si="178"/>
        <v>42605</v>
      </c>
      <c r="V591" s="65"/>
    </row>
    <row r="592" spans="1:22" ht="12.75" hidden="1">
      <c r="A592" s="52">
        <v>16</v>
      </c>
      <c r="B592" s="190">
        <v>26</v>
      </c>
      <c r="C592" s="54" t="s">
        <v>52</v>
      </c>
      <c r="D592" s="55" t="s">
        <v>1085</v>
      </c>
      <c r="E592" s="56" t="s">
        <v>1086</v>
      </c>
      <c r="F592" s="43">
        <v>26.371</v>
      </c>
      <c r="G592" s="57"/>
      <c r="H592" s="57"/>
      <c r="I592" s="58"/>
      <c r="J592" s="59">
        <f t="shared" si="175"/>
        <v>742.8502282779862</v>
      </c>
      <c r="K592" s="60">
        <v>0.9336178972540682</v>
      </c>
      <c r="L592" s="75">
        <v>1.0174087070219395</v>
      </c>
      <c r="M592" s="63">
        <f t="shared" si="176"/>
        <v>18448.5</v>
      </c>
      <c r="N592" s="63">
        <f t="shared" si="177"/>
        <v>16732.8</v>
      </c>
      <c r="O592" s="62"/>
      <c r="P592" s="76"/>
      <c r="Q592" s="77"/>
      <c r="R592" s="76"/>
      <c r="S592" s="77"/>
      <c r="T592" s="64"/>
      <c r="U592" s="45">
        <f t="shared" si="178"/>
        <v>16732.8</v>
      </c>
      <c r="V592" s="65"/>
    </row>
    <row r="593" spans="1:22" ht="12.75" hidden="1">
      <c r="A593" s="52">
        <v>16</v>
      </c>
      <c r="B593" s="190">
        <v>27</v>
      </c>
      <c r="C593" s="54" t="s">
        <v>52</v>
      </c>
      <c r="D593" s="55" t="s">
        <v>1087</v>
      </c>
      <c r="E593" s="56" t="s">
        <v>1088</v>
      </c>
      <c r="F593" s="43">
        <v>18.005</v>
      </c>
      <c r="G593" s="57"/>
      <c r="H593" s="57"/>
      <c r="I593" s="58"/>
      <c r="J593" s="59">
        <f t="shared" si="175"/>
        <v>742.8502282779862</v>
      </c>
      <c r="K593" s="60">
        <v>0.9336178972540682</v>
      </c>
      <c r="L593" s="75">
        <v>1.056558536850031</v>
      </c>
      <c r="M593" s="63">
        <f t="shared" si="176"/>
        <v>12840.3</v>
      </c>
      <c r="N593" s="63">
        <f t="shared" si="177"/>
        <v>11646.2</v>
      </c>
      <c r="O593" s="62"/>
      <c r="P593" s="76"/>
      <c r="Q593" s="77"/>
      <c r="R593" s="76"/>
      <c r="S593" s="77"/>
      <c r="T593" s="64"/>
      <c r="U593" s="45">
        <f t="shared" si="178"/>
        <v>11646.2</v>
      </c>
      <c r="V593" s="65"/>
    </row>
    <row r="594" spans="1:22" ht="12.75" hidden="1">
      <c r="A594" s="52">
        <v>16</v>
      </c>
      <c r="B594" s="53">
        <v>28</v>
      </c>
      <c r="C594" s="54" t="s">
        <v>52</v>
      </c>
      <c r="D594" s="55" t="s">
        <v>1089</v>
      </c>
      <c r="E594" s="56" t="s">
        <v>1090</v>
      </c>
      <c r="F594" s="43">
        <v>26.341</v>
      </c>
      <c r="G594" s="57"/>
      <c r="H594" s="57"/>
      <c r="I594" s="58"/>
      <c r="J594" s="59">
        <f t="shared" si="175"/>
        <v>742.8502282779862</v>
      </c>
      <c r="K594" s="60">
        <v>0.9336178972540682</v>
      </c>
      <c r="L594" s="75">
        <v>1.0526054919269825</v>
      </c>
      <c r="M594" s="63">
        <f t="shared" si="176"/>
        <v>18749</v>
      </c>
      <c r="N594" s="63">
        <f t="shared" si="177"/>
        <v>17005.3</v>
      </c>
      <c r="O594" s="62"/>
      <c r="P594" s="76"/>
      <c r="Q594" s="77"/>
      <c r="R594" s="76"/>
      <c r="S594" s="77"/>
      <c r="T594" s="64"/>
      <c r="U594" s="45">
        <f t="shared" si="178"/>
        <v>17005.3</v>
      </c>
      <c r="V594" s="65"/>
    </row>
    <row r="595" spans="1:22" ht="12.75" hidden="1">
      <c r="A595" s="52">
        <v>16</v>
      </c>
      <c r="B595" s="190">
        <v>29</v>
      </c>
      <c r="C595" s="54" t="s">
        <v>52</v>
      </c>
      <c r="D595" s="55" t="s">
        <v>1091</v>
      </c>
      <c r="E595" s="56" t="s">
        <v>1092</v>
      </c>
      <c r="F595" s="43">
        <v>11.426</v>
      </c>
      <c r="G595" s="57"/>
      <c r="H595" s="57"/>
      <c r="I595" s="58"/>
      <c r="J595" s="59">
        <f t="shared" si="175"/>
        <v>742.8502282779862</v>
      </c>
      <c r="K595" s="60">
        <v>0.9336178972540682</v>
      </c>
      <c r="L595" s="75">
        <v>1.0698016537904835</v>
      </c>
      <c r="M595" s="63">
        <f t="shared" si="176"/>
        <v>8200.9</v>
      </c>
      <c r="N595" s="63">
        <f t="shared" si="177"/>
        <v>7438.2</v>
      </c>
      <c r="O595" s="62"/>
      <c r="P595" s="76"/>
      <c r="Q595" s="77"/>
      <c r="R595" s="76"/>
      <c r="S595" s="77"/>
      <c r="T595" s="64"/>
      <c r="U595" s="45">
        <f t="shared" si="178"/>
        <v>7438.2</v>
      </c>
      <c r="V595" s="65"/>
    </row>
    <row r="596" spans="1:22" ht="12.75" hidden="1">
      <c r="A596" s="52">
        <v>16</v>
      </c>
      <c r="B596" s="53">
        <v>30</v>
      </c>
      <c r="C596" s="54" t="s">
        <v>52</v>
      </c>
      <c r="D596" s="55" t="s">
        <v>1093</v>
      </c>
      <c r="E596" s="56" t="s">
        <v>1094</v>
      </c>
      <c r="F596" s="43">
        <v>17.596</v>
      </c>
      <c r="G596" s="57"/>
      <c r="H596" s="57"/>
      <c r="I596" s="58"/>
      <c r="J596" s="59">
        <f t="shared" si="175"/>
        <v>742.8502282779862</v>
      </c>
      <c r="K596" s="60">
        <v>0.9336178972540682</v>
      </c>
      <c r="L596" s="75">
        <v>1.0321571446316116</v>
      </c>
      <c r="M596" s="63">
        <f t="shared" si="176"/>
        <v>12399.7</v>
      </c>
      <c r="N596" s="63">
        <f t="shared" si="177"/>
        <v>11246.5</v>
      </c>
      <c r="O596" s="62"/>
      <c r="P596" s="76"/>
      <c r="Q596" s="77"/>
      <c r="R596" s="76"/>
      <c r="S596" s="77"/>
      <c r="T596" s="64"/>
      <c r="U596" s="45">
        <f t="shared" si="178"/>
        <v>11246.5</v>
      </c>
      <c r="V596" s="65"/>
    </row>
    <row r="597" spans="1:22" ht="12.75" hidden="1">
      <c r="A597" s="52">
        <v>16</v>
      </c>
      <c r="B597" s="53">
        <v>31</v>
      </c>
      <c r="C597" s="54" t="s">
        <v>52</v>
      </c>
      <c r="D597" s="55" t="s">
        <v>1095</v>
      </c>
      <c r="E597" s="56" t="s">
        <v>1096</v>
      </c>
      <c r="F597" s="43">
        <v>5.281</v>
      </c>
      <c r="G597" s="57"/>
      <c r="H597" s="57"/>
      <c r="I597" s="58"/>
      <c r="J597" s="59">
        <f t="shared" si="175"/>
        <v>742.8502282779862</v>
      </c>
      <c r="K597" s="60">
        <v>0.9336178972540682</v>
      </c>
      <c r="L597" s="75">
        <v>1.036614357062433</v>
      </c>
      <c r="M597" s="63">
        <f t="shared" si="176"/>
        <v>3729.6</v>
      </c>
      <c r="N597" s="63">
        <f t="shared" si="177"/>
        <v>3382.7</v>
      </c>
      <c r="O597" s="62"/>
      <c r="P597" s="76"/>
      <c r="Q597" s="77"/>
      <c r="R597" s="76"/>
      <c r="S597" s="77"/>
      <c r="T597" s="64"/>
      <c r="U597" s="45">
        <f t="shared" si="178"/>
        <v>3382.7</v>
      </c>
      <c r="V597" s="65"/>
    </row>
    <row r="598" spans="1:22" ht="12.75" hidden="1">
      <c r="A598" s="52">
        <v>16</v>
      </c>
      <c r="B598" s="53">
        <v>16</v>
      </c>
      <c r="C598" s="54" t="s">
        <v>52</v>
      </c>
      <c r="D598" s="55" t="s">
        <v>1097</v>
      </c>
      <c r="E598" s="56" t="s">
        <v>1098</v>
      </c>
      <c r="F598" s="43">
        <v>19.628</v>
      </c>
      <c r="G598" s="57"/>
      <c r="H598" s="57"/>
      <c r="I598" s="58"/>
      <c r="J598" s="59">
        <f t="shared" si="175"/>
        <v>742.8502282779862</v>
      </c>
      <c r="K598" s="60">
        <v>0.9336178972540682</v>
      </c>
      <c r="L598" s="75">
        <v>1.0168541479426632</v>
      </c>
      <c r="M598" s="63">
        <f t="shared" si="176"/>
        <v>13727.5</v>
      </c>
      <c r="N598" s="63">
        <f t="shared" si="177"/>
        <v>12450.8</v>
      </c>
      <c r="O598" s="62"/>
      <c r="P598" s="76"/>
      <c r="Q598" s="77"/>
      <c r="R598" s="76"/>
      <c r="S598" s="77"/>
      <c r="T598" s="64"/>
      <c r="U598" s="45">
        <f t="shared" si="178"/>
        <v>12450.8</v>
      </c>
      <c r="V598" s="65"/>
    </row>
    <row r="599" spans="1:22" ht="25.5" hidden="1">
      <c r="A599" s="38">
        <v>16</v>
      </c>
      <c r="B599" s="39" t="s">
        <v>26</v>
      </c>
      <c r="C599" s="40" t="s">
        <v>111</v>
      </c>
      <c r="D599" s="55"/>
      <c r="E599" s="79" t="s">
        <v>112</v>
      </c>
      <c r="F599" s="43">
        <f>SUM(F600:F613)</f>
        <v>93.881</v>
      </c>
      <c r="G599" s="83">
        <f>SUM(G600:G613)</f>
        <v>0</v>
      </c>
      <c r="H599" s="83">
        <f>SUM(H600:H613)</f>
        <v>0</v>
      </c>
      <c r="I599" s="122"/>
      <c r="J599" s="123"/>
      <c r="K599" s="122"/>
      <c r="L599" s="84">
        <v>0</v>
      </c>
      <c r="M599" s="124">
        <f aca="true" t="shared" si="179" ref="M599:U599">SUM(M600:M613)</f>
        <v>67034.7</v>
      </c>
      <c r="N599" s="124">
        <f t="shared" si="179"/>
        <v>60800.59999999999</v>
      </c>
      <c r="O599" s="124">
        <f t="shared" si="179"/>
        <v>0</v>
      </c>
      <c r="P599" s="124">
        <f t="shared" si="179"/>
        <v>0</v>
      </c>
      <c r="Q599" s="124">
        <f t="shared" si="179"/>
        <v>0</v>
      </c>
      <c r="R599" s="124">
        <f t="shared" si="179"/>
        <v>0</v>
      </c>
      <c r="S599" s="124">
        <f t="shared" si="179"/>
        <v>0</v>
      </c>
      <c r="T599" s="124">
        <f t="shared" si="179"/>
        <v>0</v>
      </c>
      <c r="U599" s="124">
        <f t="shared" si="179"/>
        <v>60800.59999999999</v>
      </c>
      <c r="V599" s="125"/>
    </row>
    <row r="600" spans="1:22" ht="25.5" hidden="1">
      <c r="A600" s="52">
        <v>16</v>
      </c>
      <c r="B600" s="53">
        <v>33</v>
      </c>
      <c r="C600" s="54" t="s">
        <v>113</v>
      </c>
      <c r="D600" s="55" t="s">
        <v>1099</v>
      </c>
      <c r="E600" s="56" t="s">
        <v>1100</v>
      </c>
      <c r="F600" s="43">
        <v>3.794</v>
      </c>
      <c r="G600" s="57"/>
      <c r="H600" s="57"/>
      <c r="I600" s="58"/>
      <c r="J600" s="59">
        <f aca="true" t="shared" si="180" ref="J600:J613">+($F$7-$O$952-$Q$952-$P$952-$R$952-$S$952)/($F$952-$G$952*1-$H$952*0.5)*0.646*1.0268514</f>
        <v>742.8502282779862</v>
      </c>
      <c r="K600" s="60">
        <v>0.9336178972540682</v>
      </c>
      <c r="L600" s="75">
        <v>1.0548438971685086</v>
      </c>
      <c r="M600" s="63">
        <f aca="true" t="shared" si="181" ref="M600:M613">ROUND(J600*(F600-G600-H600*I600)*K600*(0.5+0.5*L600),1)</f>
        <v>2703.4</v>
      </c>
      <c r="N600" s="63">
        <f aca="true" t="shared" si="182" ref="N600:N613">ROUND(M600*0.907,1)</f>
        <v>2452</v>
      </c>
      <c r="O600" s="62"/>
      <c r="P600" s="76"/>
      <c r="Q600" s="77"/>
      <c r="R600" s="76"/>
      <c r="S600" s="77"/>
      <c r="T600" s="64"/>
      <c r="U600" s="45">
        <f aca="true" t="shared" si="183" ref="U600:U613">+N600+O600+T600+R600+S600+Q600</f>
        <v>2452</v>
      </c>
      <c r="V600" s="65"/>
    </row>
    <row r="601" spans="1:22" ht="25.5" hidden="1">
      <c r="A601" s="52">
        <v>16</v>
      </c>
      <c r="B601" s="53">
        <v>34</v>
      </c>
      <c r="C601" s="54" t="s">
        <v>113</v>
      </c>
      <c r="D601" s="55" t="s">
        <v>1101</v>
      </c>
      <c r="E601" s="56" t="s">
        <v>1102</v>
      </c>
      <c r="F601" s="43">
        <v>15.169</v>
      </c>
      <c r="G601" s="57"/>
      <c r="H601" s="57"/>
      <c r="I601" s="58"/>
      <c r="J601" s="59">
        <f t="shared" si="180"/>
        <v>742.8502282779862</v>
      </c>
      <c r="K601" s="60">
        <v>0.9336178972540682</v>
      </c>
      <c r="L601" s="75">
        <v>1.0892225810636276</v>
      </c>
      <c r="M601" s="63">
        <f t="shared" si="181"/>
        <v>10989.6</v>
      </c>
      <c r="N601" s="63">
        <f t="shared" si="182"/>
        <v>9967.6</v>
      </c>
      <c r="O601" s="62"/>
      <c r="P601" s="76"/>
      <c r="Q601" s="77"/>
      <c r="R601" s="76"/>
      <c r="S601" s="77"/>
      <c r="T601" s="64"/>
      <c r="U601" s="45">
        <f t="shared" si="183"/>
        <v>9967.6</v>
      </c>
      <c r="V601" s="65"/>
    </row>
    <row r="602" spans="1:22" ht="25.5" hidden="1">
      <c r="A602" s="52">
        <v>16</v>
      </c>
      <c r="B602" s="53">
        <v>35</v>
      </c>
      <c r="C602" s="54" t="s">
        <v>113</v>
      </c>
      <c r="D602" s="55" t="s">
        <v>1103</v>
      </c>
      <c r="E602" s="90" t="s">
        <v>1104</v>
      </c>
      <c r="F602" s="43">
        <v>2.809</v>
      </c>
      <c r="G602" s="57"/>
      <c r="H602" s="57"/>
      <c r="I602" s="58"/>
      <c r="J602" s="59">
        <f t="shared" si="180"/>
        <v>742.8502282779862</v>
      </c>
      <c r="K602" s="60">
        <v>0.933617897254068</v>
      </c>
      <c r="L602" s="75">
        <v>1.0526054919269825</v>
      </c>
      <c r="M602" s="63">
        <f t="shared" si="181"/>
        <v>1999.4</v>
      </c>
      <c r="N602" s="63">
        <f t="shared" si="182"/>
        <v>1813.5</v>
      </c>
      <c r="O602" s="62"/>
      <c r="P602" s="76"/>
      <c r="Q602" s="77"/>
      <c r="R602" s="76"/>
      <c r="S602" s="77"/>
      <c r="T602" s="64"/>
      <c r="U602" s="45">
        <f t="shared" si="183"/>
        <v>1813.5</v>
      </c>
      <c r="V602" s="65"/>
    </row>
    <row r="603" spans="1:22" s="82" customFormat="1" ht="26.25" hidden="1">
      <c r="A603" s="52">
        <v>16</v>
      </c>
      <c r="B603" s="53">
        <v>36</v>
      </c>
      <c r="C603" s="54" t="s">
        <v>113</v>
      </c>
      <c r="D603" s="55" t="s">
        <v>1105</v>
      </c>
      <c r="E603" s="56" t="s">
        <v>1106</v>
      </c>
      <c r="F603" s="43">
        <v>3.561</v>
      </c>
      <c r="G603" s="57"/>
      <c r="H603" s="57"/>
      <c r="I603" s="58"/>
      <c r="J603" s="59">
        <f t="shared" si="180"/>
        <v>742.8502282779862</v>
      </c>
      <c r="K603" s="60">
        <v>0.933617897254068</v>
      </c>
      <c r="L603" s="75">
        <v>1.0802263568739574</v>
      </c>
      <c r="M603" s="63">
        <f t="shared" si="181"/>
        <v>2568.8</v>
      </c>
      <c r="N603" s="63">
        <f t="shared" si="182"/>
        <v>2329.9</v>
      </c>
      <c r="O603" s="62"/>
      <c r="P603" s="76"/>
      <c r="Q603" s="77"/>
      <c r="R603" s="76"/>
      <c r="S603" s="77"/>
      <c r="T603" s="64"/>
      <c r="U603" s="45">
        <f t="shared" si="183"/>
        <v>2329.9</v>
      </c>
      <c r="V603" s="65"/>
    </row>
    <row r="604" spans="1:22" s="82" customFormat="1" ht="26.25" hidden="1">
      <c r="A604" s="52">
        <v>16</v>
      </c>
      <c r="B604" s="53">
        <v>38</v>
      </c>
      <c r="C604" s="54" t="s">
        <v>113</v>
      </c>
      <c r="D604" s="55" t="s">
        <v>1107</v>
      </c>
      <c r="E604" s="56" t="s">
        <v>1108</v>
      </c>
      <c r="F604" s="43">
        <v>5.077</v>
      </c>
      <c r="G604" s="57"/>
      <c r="H604" s="57"/>
      <c r="I604" s="58"/>
      <c r="J604" s="59">
        <f t="shared" si="180"/>
        <v>742.8502282779862</v>
      </c>
      <c r="K604" s="60">
        <v>0.933617897254068</v>
      </c>
      <c r="L604" s="75">
        <v>1.0802263568739574</v>
      </c>
      <c r="M604" s="63">
        <f t="shared" si="181"/>
        <v>3662.3</v>
      </c>
      <c r="N604" s="63">
        <f t="shared" si="182"/>
        <v>3321.7</v>
      </c>
      <c r="O604" s="62"/>
      <c r="P604" s="76"/>
      <c r="Q604" s="77"/>
      <c r="R604" s="76"/>
      <c r="S604" s="77"/>
      <c r="T604" s="64"/>
      <c r="U604" s="45">
        <f t="shared" si="183"/>
        <v>3321.7</v>
      </c>
      <c r="V604" s="65"/>
    </row>
    <row r="605" spans="1:22" s="129" customFormat="1" ht="25.5" hidden="1">
      <c r="A605" s="52">
        <v>16</v>
      </c>
      <c r="B605" s="53">
        <v>39</v>
      </c>
      <c r="C605" s="54" t="s">
        <v>113</v>
      </c>
      <c r="D605" s="55" t="s">
        <v>1109</v>
      </c>
      <c r="E605" s="90" t="s">
        <v>1110</v>
      </c>
      <c r="F605" s="43">
        <v>17.261</v>
      </c>
      <c r="G605" s="57"/>
      <c r="H605" s="57"/>
      <c r="I605" s="58"/>
      <c r="J605" s="59">
        <f t="shared" si="180"/>
        <v>742.8502282779862</v>
      </c>
      <c r="K605" s="60">
        <v>0.933617897254068</v>
      </c>
      <c r="L605" s="75">
        <v>1.0393374752093487</v>
      </c>
      <c r="M605" s="63">
        <f t="shared" si="181"/>
        <v>12206.6</v>
      </c>
      <c r="N605" s="63">
        <f t="shared" si="182"/>
        <v>11071.4</v>
      </c>
      <c r="O605" s="62"/>
      <c r="P605" s="76"/>
      <c r="Q605" s="77"/>
      <c r="R605" s="76"/>
      <c r="S605" s="77"/>
      <c r="T605" s="64"/>
      <c r="U605" s="45">
        <f t="shared" si="183"/>
        <v>11071.4</v>
      </c>
      <c r="V605" s="65"/>
    </row>
    <row r="606" spans="1:22" s="91" customFormat="1" ht="25.5" hidden="1">
      <c r="A606" s="52">
        <v>16</v>
      </c>
      <c r="B606" s="53">
        <v>40</v>
      </c>
      <c r="C606" s="54" t="s">
        <v>113</v>
      </c>
      <c r="D606" s="55" t="s">
        <v>1111</v>
      </c>
      <c r="E606" s="90" t="s">
        <v>1112</v>
      </c>
      <c r="F606" s="43">
        <v>6.528</v>
      </c>
      <c r="G606" s="57"/>
      <c r="H606" s="57"/>
      <c r="I606" s="58"/>
      <c r="J606" s="59">
        <f t="shared" si="180"/>
        <v>742.8502282779862</v>
      </c>
      <c r="K606" s="60">
        <v>0.933617897254068</v>
      </c>
      <c r="L606" s="75">
        <v>1.0802263568739574</v>
      </c>
      <c r="M606" s="63">
        <f t="shared" si="181"/>
        <v>4709</v>
      </c>
      <c r="N606" s="63">
        <f t="shared" si="182"/>
        <v>4271.1</v>
      </c>
      <c r="O606" s="62"/>
      <c r="P606" s="76"/>
      <c r="Q606" s="77"/>
      <c r="R606" s="76"/>
      <c r="S606" s="77"/>
      <c r="T606" s="64"/>
      <c r="U606" s="45">
        <f t="shared" si="183"/>
        <v>4271.1</v>
      </c>
      <c r="V606" s="65"/>
    </row>
    <row r="607" spans="1:22" s="155" customFormat="1" ht="25.5" hidden="1">
      <c r="A607" s="52">
        <v>16</v>
      </c>
      <c r="B607" s="53">
        <v>41</v>
      </c>
      <c r="C607" s="54" t="s">
        <v>113</v>
      </c>
      <c r="D607" s="55" t="s">
        <v>1113</v>
      </c>
      <c r="E607" s="56" t="s">
        <v>1114</v>
      </c>
      <c r="F607" s="43">
        <v>2.635</v>
      </c>
      <c r="G607" s="57"/>
      <c r="H607" s="57"/>
      <c r="I607" s="58"/>
      <c r="J607" s="59">
        <f t="shared" si="180"/>
        <v>742.8502282779862</v>
      </c>
      <c r="K607" s="60">
        <v>0.933617897254068</v>
      </c>
      <c r="L607" s="75">
        <v>1.0526054919269825</v>
      </c>
      <c r="M607" s="63">
        <f t="shared" si="181"/>
        <v>1875.5</v>
      </c>
      <c r="N607" s="63">
        <f t="shared" si="182"/>
        <v>1701.1</v>
      </c>
      <c r="O607" s="62"/>
      <c r="P607" s="76"/>
      <c r="Q607" s="77"/>
      <c r="R607" s="76"/>
      <c r="S607" s="77"/>
      <c r="T607" s="64"/>
      <c r="U607" s="45">
        <f t="shared" si="183"/>
        <v>1701.1</v>
      </c>
      <c r="V607" s="65"/>
    </row>
    <row r="608" spans="1:22" s="155" customFormat="1" ht="25.5" hidden="1">
      <c r="A608" s="52">
        <v>16</v>
      </c>
      <c r="B608" s="53">
        <v>42</v>
      </c>
      <c r="C608" s="54" t="s">
        <v>113</v>
      </c>
      <c r="D608" s="55" t="s">
        <v>1115</v>
      </c>
      <c r="E608" s="56" t="s">
        <v>1116</v>
      </c>
      <c r="F608" s="43">
        <v>1.98</v>
      </c>
      <c r="G608" s="57"/>
      <c r="H608" s="57"/>
      <c r="I608" s="58"/>
      <c r="J608" s="59">
        <f t="shared" si="180"/>
        <v>742.8502282779862</v>
      </c>
      <c r="K608" s="60">
        <v>0.933617897254068</v>
      </c>
      <c r="L608" s="75">
        <v>1.0802263568739574</v>
      </c>
      <c r="M608" s="63">
        <f t="shared" si="181"/>
        <v>1428.3</v>
      </c>
      <c r="N608" s="63">
        <f t="shared" si="182"/>
        <v>1295.5</v>
      </c>
      <c r="O608" s="62"/>
      <c r="P608" s="76"/>
      <c r="Q608" s="77"/>
      <c r="R608" s="76"/>
      <c r="S608" s="77"/>
      <c r="T608" s="64"/>
      <c r="U608" s="45">
        <f t="shared" si="183"/>
        <v>1295.5</v>
      </c>
      <c r="V608" s="65"/>
    </row>
    <row r="609" spans="1:22" s="155" customFormat="1" ht="25.5" hidden="1">
      <c r="A609" s="52">
        <v>16</v>
      </c>
      <c r="B609" s="53">
        <v>43</v>
      </c>
      <c r="C609" s="54" t="s">
        <v>113</v>
      </c>
      <c r="D609" s="55" t="s">
        <v>1117</v>
      </c>
      <c r="E609" s="56" t="s">
        <v>1118</v>
      </c>
      <c r="F609" s="43">
        <v>7.344</v>
      </c>
      <c r="G609" s="57"/>
      <c r="H609" s="57"/>
      <c r="I609" s="58"/>
      <c r="J609" s="59">
        <f t="shared" si="180"/>
        <v>742.8502282779862</v>
      </c>
      <c r="K609" s="60">
        <v>0.933617897254068</v>
      </c>
      <c r="L609" s="75">
        <v>1.056558536850031</v>
      </c>
      <c r="M609" s="63">
        <f t="shared" si="181"/>
        <v>5237.4</v>
      </c>
      <c r="N609" s="63">
        <f t="shared" si="182"/>
        <v>4750.3</v>
      </c>
      <c r="O609" s="62"/>
      <c r="P609" s="76"/>
      <c r="Q609" s="77"/>
      <c r="R609" s="76"/>
      <c r="S609" s="77"/>
      <c r="T609" s="64"/>
      <c r="U609" s="45">
        <f t="shared" si="183"/>
        <v>4750.3</v>
      </c>
      <c r="V609" s="65"/>
    </row>
    <row r="610" spans="1:22" s="155" customFormat="1" ht="25.5" hidden="1">
      <c r="A610" s="52">
        <v>16</v>
      </c>
      <c r="B610" s="53">
        <v>44</v>
      </c>
      <c r="C610" s="54" t="s">
        <v>113</v>
      </c>
      <c r="D610" s="164" t="s">
        <v>1119</v>
      </c>
      <c r="E610" s="56" t="s">
        <v>1120</v>
      </c>
      <c r="F610" s="43">
        <v>4.516</v>
      </c>
      <c r="G610" s="57"/>
      <c r="H610" s="57"/>
      <c r="I610" s="58"/>
      <c r="J610" s="59">
        <f t="shared" si="180"/>
        <v>742.8502282779862</v>
      </c>
      <c r="K610" s="60">
        <v>0.933617897254068</v>
      </c>
      <c r="L610" s="75">
        <v>1.0802263568739574</v>
      </c>
      <c r="M610" s="63">
        <f t="shared" si="181"/>
        <v>3257.7</v>
      </c>
      <c r="N610" s="63">
        <f t="shared" si="182"/>
        <v>2954.7</v>
      </c>
      <c r="O610" s="62"/>
      <c r="P610" s="76"/>
      <c r="Q610" s="77"/>
      <c r="R610" s="76"/>
      <c r="S610" s="77"/>
      <c r="T610" s="64"/>
      <c r="U610" s="45">
        <f t="shared" si="183"/>
        <v>2954.7</v>
      </c>
      <c r="V610" s="65"/>
    </row>
    <row r="611" spans="1:22" s="155" customFormat="1" ht="25.5" hidden="1">
      <c r="A611" s="52">
        <v>16</v>
      </c>
      <c r="B611" s="53">
        <v>45</v>
      </c>
      <c r="C611" s="54" t="s">
        <v>113</v>
      </c>
      <c r="D611" s="164" t="s">
        <v>1121</v>
      </c>
      <c r="E611" s="56" t="s">
        <v>1122</v>
      </c>
      <c r="F611" s="43">
        <v>15.093</v>
      </c>
      <c r="G611" s="57"/>
      <c r="H611" s="57"/>
      <c r="I611" s="58"/>
      <c r="J611" s="59">
        <f t="shared" si="180"/>
        <v>742.8502282779862</v>
      </c>
      <c r="K611" s="60">
        <v>0.933617897254068</v>
      </c>
      <c r="L611" s="75">
        <v>1.036614357062433</v>
      </c>
      <c r="M611" s="63">
        <f t="shared" si="181"/>
        <v>10659.2</v>
      </c>
      <c r="N611" s="63">
        <f t="shared" si="182"/>
        <v>9667.9</v>
      </c>
      <c r="O611" s="62"/>
      <c r="P611" s="76"/>
      <c r="Q611" s="77"/>
      <c r="R611" s="76"/>
      <c r="S611" s="77"/>
      <c r="T611" s="64"/>
      <c r="U611" s="45">
        <f t="shared" si="183"/>
        <v>9667.9</v>
      </c>
      <c r="V611" s="65"/>
    </row>
    <row r="612" spans="1:22" s="165" customFormat="1" ht="25.5" hidden="1">
      <c r="A612" s="104">
        <v>16</v>
      </c>
      <c r="B612" s="105">
        <v>46</v>
      </c>
      <c r="C612" s="106" t="s">
        <v>113</v>
      </c>
      <c r="D612" s="119" t="s">
        <v>1123</v>
      </c>
      <c r="E612" s="108" t="s">
        <v>1124</v>
      </c>
      <c r="F612" s="109">
        <v>5.341</v>
      </c>
      <c r="G612" s="158"/>
      <c r="H612" s="158"/>
      <c r="I612" s="159"/>
      <c r="J612" s="112">
        <f t="shared" si="180"/>
        <v>742.8502282779862</v>
      </c>
      <c r="K612" s="113">
        <v>0.933617897254068</v>
      </c>
      <c r="L612" s="75">
        <v>1.0321571446316116</v>
      </c>
      <c r="M612" s="63">
        <f t="shared" si="181"/>
        <v>3763.7</v>
      </c>
      <c r="N612" s="63">
        <f t="shared" si="182"/>
        <v>3413.7</v>
      </c>
      <c r="O612" s="62"/>
      <c r="P612" s="160"/>
      <c r="Q612" s="77"/>
      <c r="R612" s="76"/>
      <c r="S612" s="77"/>
      <c r="T612" s="115"/>
      <c r="U612" s="116">
        <f t="shared" si="183"/>
        <v>3413.7</v>
      </c>
      <c r="V612" s="117"/>
    </row>
    <row r="613" spans="1:22" s="194" customFormat="1" ht="26.25" hidden="1">
      <c r="A613" s="104">
        <v>16</v>
      </c>
      <c r="B613" s="105">
        <v>47</v>
      </c>
      <c r="C613" s="106" t="s">
        <v>113</v>
      </c>
      <c r="D613" s="119" t="s">
        <v>1125</v>
      </c>
      <c r="E613" s="108" t="s">
        <v>1126</v>
      </c>
      <c r="F613" s="109">
        <v>2.773</v>
      </c>
      <c r="G613" s="158"/>
      <c r="H613" s="158"/>
      <c r="I613" s="159"/>
      <c r="J613" s="112">
        <f t="shared" si="180"/>
        <v>742.8502282779862</v>
      </c>
      <c r="K613" s="113">
        <v>0.933617897254068</v>
      </c>
      <c r="L613" s="75">
        <v>1.0526054919269825</v>
      </c>
      <c r="M613" s="63">
        <f t="shared" si="181"/>
        <v>1973.8</v>
      </c>
      <c r="N613" s="63">
        <f t="shared" si="182"/>
        <v>1790.2</v>
      </c>
      <c r="O613" s="62"/>
      <c r="P613" s="160"/>
      <c r="Q613" s="77"/>
      <c r="R613" s="76"/>
      <c r="S613" s="77"/>
      <c r="T613" s="115"/>
      <c r="U613" s="116">
        <f t="shared" si="183"/>
        <v>1790.2</v>
      </c>
      <c r="V613" s="117"/>
    </row>
    <row r="614" spans="1:22" s="129" customFormat="1" ht="25.5" hidden="1">
      <c r="A614" s="170">
        <v>17</v>
      </c>
      <c r="B614" s="167" t="s">
        <v>26</v>
      </c>
      <c r="C614" s="40" t="s">
        <v>27</v>
      </c>
      <c r="D614" s="55"/>
      <c r="E614" s="168" t="s">
        <v>1127</v>
      </c>
      <c r="F614" s="43">
        <f>F615+F616+F621+F638</f>
        <v>1161.8110000000001</v>
      </c>
      <c r="G614" s="44">
        <f>+G615+G616+G621+G638</f>
        <v>0</v>
      </c>
      <c r="H614" s="44">
        <f>+H615+H616+H621+H638</f>
        <v>0</v>
      </c>
      <c r="I614" s="45"/>
      <c r="J614" s="46"/>
      <c r="K614" s="47"/>
      <c r="L614" s="48">
        <v>0.9521386828394878</v>
      </c>
      <c r="M614" s="49">
        <f aca="true" t="shared" si="184" ref="M614:U614">+M615+M616+M621+M638</f>
        <v>1246290.3</v>
      </c>
      <c r="N614" s="49">
        <f t="shared" si="184"/>
        <v>1246290.3</v>
      </c>
      <c r="O614" s="49">
        <f t="shared" si="184"/>
        <v>0</v>
      </c>
      <c r="P614" s="49">
        <f t="shared" si="184"/>
        <v>6600.4</v>
      </c>
      <c r="Q614" s="49">
        <f t="shared" si="184"/>
        <v>18663.8</v>
      </c>
      <c r="R614" s="49">
        <f t="shared" si="184"/>
        <v>27212.8</v>
      </c>
      <c r="S614" s="49">
        <f t="shared" si="184"/>
        <v>195.8</v>
      </c>
      <c r="T614" s="49">
        <f t="shared" si="184"/>
        <v>0</v>
      </c>
      <c r="U614" s="49">
        <f t="shared" si="184"/>
        <v>1298963.1</v>
      </c>
      <c r="V614" s="65"/>
    </row>
    <row r="615" spans="1:22" ht="12.75" hidden="1">
      <c r="A615" s="52">
        <v>17</v>
      </c>
      <c r="B615" s="53" t="s">
        <v>26</v>
      </c>
      <c r="C615" s="54" t="s">
        <v>29</v>
      </c>
      <c r="D615" s="55" t="s">
        <v>1128</v>
      </c>
      <c r="E615" s="56" t="s">
        <v>31</v>
      </c>
      <c r="F615" s="43">
        <v>0</v>
      </c>
      <c r="G615" s="128"/>
      <c r="H615" s="128"/>
      <c r="I615" s="58"/>
      <c r="J615" s="59">
        <f>+($F$7-$O$952-$Q$952-$P$952-R$952-$S$952)/$F$952*0.354*0.951</f>
        <v>376.76602120660414</v>
      </c>
      <c r="K615" s="60">
        <v>0</v>
      </c>
      <c r="L615" s="48">
        <v>0.9521386828394878</v>
      </c>
      <c r="M615" s="49">
        <f>ROUND(J615*(F616+F621+F638)*(0.5+0.5*L615),1)</f>
        <v>427255.7</v>
      </c>
      <c r="N615" s="49">
        <f>M615+ROUND(SUM(M617:M620)*0.117+SUM(M622:M637)*0.093+SUM(M639:M648)*0.093,1)-0.2</f>
        <v>509746.3</v>
      </c>
      <c r="O615" s="61"/>
      <c r="P615" s="62">
        <v>6600.4</v>
      </c>
      <c r="Q615" s="63">
        <v>18663.8</v>
      </c>
      <c r="R615" s="62">
        <v>27212.8</v>
      </c>
      <c r="S615" s="63">
        <v>195.8</v>
      </c>
      <c r="T615" s="64"/>
      <c r="U615" s="45">
        <f>N615+O615+P615+Q615+R615+S615+T615</f>
        <v>562419.1000000001</v>
      </c>
      <c r="V615" s="65"/>
    </row>
    <row r="616" spans="1:22" ht="13.5" hidden="1">
      <c r="A616" s="38">
        <v>17</v>
      </c>
      <c r="B616" s="39" t="s">
        <v>26</v>
      </c>
      <c r="C616" s="40" t="s">
        <v>33</v>
      </c>
      <c r="D616" s="55"/>
      <c r="E616" s="79" t="s">
        <v>34</v>
      </c>
      <c r="F616" s="43">
        <f>SUM(F617:F620)</f>
        <v>343.95799999999997</v>
      </c>
      <c r="G616" s="67">
        <f>SUM(G617:G620)</f>
        <v>0</v>
      </c>
      <c r="H616" s="68">
        <f>SUM(H617:H620)</f>
        <v>0</v>
      </c>
      <c r="I616" s="69"/>
      <c r="J616" s="59"/>
      <c r="K616" s="70"/>
      <c r="L616" s="71">
        <v>0.9350237098036213</v>
      </c>
      <c r="M616" s="72">
        <f aca="true" t="shared" si="185" ref="M616:U616">SUM(M617:M620)</f>
        <v>263357.9</v>
      </c>
      <c r="N616" s="72">
        <f>SUM(N617:N620)</f>
        <v>232545.00000000003</v>
      </c>
      <c r="O616" s="72">
        <f t="shared" si="185"/>
        <v>0</v>
      </c>
      <c r="P616" s="72">
        <f t="shared" si="185"/>
        <v>0</v>
      </c>
      <c r="Q616" s="72">
        <f t="shared" si="185"/>
        <v>0</v>
      </c>
      <c r="R616" s="72">
        <f t="shared" si="185"/>
        <v>0</v>
      </c>
      <c r="S616" s="72">
        <f t="shared" si="185"/>
        <v>0</v>
      </c>
      <c r="T616" s="72">
        <f t="shared" si="185"/>
        <v>-10570.5</v>
      </c>
      <c r="U616" s="72">
        <f t="shared" si="185"/>
        <v>221974.50000000003</v>
      </c>
      <c r="V616" s="73"/>
    </row>
    <row r="617" spans="1:22" ht="12.75" hidden="1">
      <c r="A617" s="52">
        <v>17</v>
      </c>
      <c r="B617" s="53" t="s">
        <v>35</v>
      </c>
      <c r="C617" s="54" t="s">
        <v>36</v>
      </c>
      <c r="D617" s="55" t="s">
        <v>1129</v>
      </c>
      <c r="E617" s="74" t="s">
        <v>1130</v>
      </c>
      <c r="F617" s="43">
        <v>248.307</v>
      </c>
      <c r="G617" s="162"/>
      <c r="H617" s="162"/>
      <c r="I617" s="58"/>
      <c r="J617" s="59">
        <f>+($F$7-$O$952-$Q$952-$P$952-$R$952-$S$952)/($F$952-$G$952*1-$H$952*0.5)*0.646*1.0268514</f>
        <v>742.8502282779862</v>
      </c>
      <c r="K617" s="60">
        <v>1.065228053001168</v>
      </c>
      <c r="L617" s="75">
        <v>0.937930650804752</v>
      </c>
      <c r="M617" s="63">
        <f>ROUND(J617*(F617-G617-H617*I617)*K617*(0.5+0.5*L617),1)</f>
        <v>190388.7</v>
      </c>
      <c r="N617" s="63">
        <f>ROUND(M617*0.883,1)</f>
        <v>168113.2</v>
      </c>
      <c r="O617" s="62"/>
      <c r="P617" s="76"/>
      <c r="Q617" s="77"/>
      <c r="R617" s="76"/>
      <c r="S617" s="77"/>
      <c r="T617" s="64"/>
      <c r="U617" s="45">
        <f>+N617+O617+T617+R617+S617+Q617</f>
        <v>168113.2</v>
      </c>
      <c r="V617" s="65"/>
    </row>
    <row r="618" spans="1:22" ht="12.75" hidden="1">
      <c r="A618" s="52">
        <v>17</v>
      </c>
      <c r="B618" s="53" t="s">
        <v>32</v>
      </c>
      <c r="C618" s="54" t="s">
        <v>36</v>
      </c>
      <c r="D618" s="55" t="s">
        <v>1131</v>
      </c>
      <c r="E618" s="78" t="s">
        <v>1132</v>
      </c>
      <c r="F618" s="43">
        <v>38.023</v>
      </c>
      <c r="G618" s="57"/>
      <c r="H618" s="57"/>
      <c r="I618" s="58"/>
      <c r="J618" s="59">
        <f>+($F$7-$O$952-$Q$952-$P$952-$R$952-$S$952)/($F$952-$G$952*1-$H$952*0.5)*0.646*1.0268514</f>
        <v>742.8502282779862</v>
      </c>
      <c r="K618" s="60">
        <v>1.065228053001168</v>
      </c>
      <c r="L618" s="75">
        <v>0.9809282054534249</v>
      </c>
      <c r="M618" s="63">
        <f>ROUND(J618*(F618-G618-H618*I618)*K618*(0.5+0.5*L618),1)</f>
        <v>29800.9</v>
      </c>
      <c r="N618" s="63">
        <f>ROUND(M618*0.883,1)</f>
        <v>26314.2</v>
      </c>
      <c r="O618" s="62"/>
      <c r="P618" s="76"/>
      <c r="Q618" s="77"/>
      <c r="R618" s="76"/>
      <c r="S618" s="77"/>
      <c r="T618" s="64"/>
      <c r="U618" s="45">
        <f>+N618+O618+T618+R618+S618+Q618</f>
        <v>26314.2</v>
      </c>
      <c r="V618" s="65"/>
    </row>
    <row r="619" spans="1:22" ht="12.75" hidden="1">
      <c r="A619" s="52">
        <v>17</v>
      </c>
      <c r="B619" s="53" t="s">
        <v>118</v>
      </c>
      <c r="C619" s="54" t="s">
        <v>36</v>
      </c>
      <c r="D619" s="55" t="s">
        <v>1133</v>
      </c>
      <c r="E619" s="78" t="s">
        <v>1134</v>
      </c>
      <c r="F619" s="43">
        <v>41.849</v>
      </c>
      <c r="G619" s="57"/>
      <c r="H619" s="57"/>
      <c r="I619" s="58"/>
      <c r="J619" s="59">
        <f>+($F$7-$O$952-$Q$952-$P$952-$R$952-$S$952)/($F$952-$G$952*1-$H$952*0.5)*0.646*1.0268514</f>
        <v>742.8502282779862</v>
      </c>
      <c r="K619" s="60">
        <v>1.065228053001168</v>
      </c>
      <c r="L619" s="75">
        <v>0.8841549602307844</v>
      </c>
      <c r="M619" s="63">
        <f>ROUND(J619*(F619-G619-H619*I619)*K619*(0.5+0.5*L619),1)</f>
        <v>31197.2</v>
      </c>
      <c r="N619" s="63">
        <f>ROUND(M619*0.883,1)</f>
        <v>27547.1</v>
      </c>
      <c r="O619" s="62"/>
      <c r="P619" s="76"/>
      <c r="Q619" s="77"/>
      <c r="R619" s="76"/>
      <c r="S619" s="77"/>
      <c r="T619" s="64"/>
      <c r="U619" s="45">
        <f>+N619+O619+T619+R619+S619+Q619</f>
        <v>27547.1</v>
      </c>
      <c r="V619" s="65"/>
    </row>
    <row r="620" spans="1:22" ht="12.75" hidden="1">
      <c r="A620" s="52">
        <v>17</v>
      </c>
      <c r="B620" s="53" t="s">
        <v>127</v>
      </c>
      <c r="C620" s="54" t="s">
        <v>36</v>
      </c>
      <c r="D620" s="55" t="s">
        <v>1135</v>
      </c>
      <c r="E620" s="78" t="s">
        <v>1136</v>
      </c>
      <c r="F620" s="43">
        <v>15.779</v>
      </c>
      <c r="G620" s="57"/>
      <c r="H620" s="57"/>
      <c r="I620" s="58"/>
      <c r="J620" s="59">
        <f>+($F$7-$O$952-$Q$952-$P$952-$R$952-$S$952)/($F$952-$G$952*1-$H$952*0.5)*0.646*1.0268514</f>
        <v>742.8502282779862</v>
      </c>
      <c r="K620" s="60">
        <v>1.065228053001168</v>
      </c>
      <c r="L620" s="75">
        <v>0.9175257322159655</v>
      </c>
      <c r="M620" s="63">
        <f>ROUND(J620*(F620-G620-H620*I620)*K620*(0.5+0.5*L620),1)</f>
        <v>11971.1</v>
      </c>
      <c r="N620" s="63">
        <f>ROUND(M620*0.883,1)</f>
        <v>10570.5</v>
      </c>
      <c r="O620" s="62"/>
      <c r="P620" s="76"/>
      <c r="Q620" s="77"/>
      <c r="R620" s="76"/>
      <c r="S620" s="77"/>
      <c r="T620" s="64">
        <f>-ROUND(N620,1)</f>
        <v>-10570.5</v>
      </c>
      <c r="U620" s="45">
        <f>+N620+O620+T620+R620+S620+Q620</f>
        <v>0</v>
      </c>
      <c r="V620" s="65"/>
    </row>
    <row r="621" spans="1:22" ht="35.25" customHeight="1" hidden="1">
      <c r="A621" s="38">
        <v>17</v>
      </c>
      <c r="B621" s="39" t="s">
        <v>26</v>
      </c>
      <c r="C621" s="40" t="s">
        <v>49</v>
      </c>
      <c r="D621" s="55"/>
      <c r="E621" s="79" t="s">
        <v>50</v>
      </c>
      <c r="F621" s="43">
        <f>SUM(F622:F637)</f>
        <v>754.433</v>
      </c>
      <c r="G621" s="67">
        <f>SUM(G622:G637)</f>
        <v>0</v>
      </c>
      <c r="H621" s="68">
        <f>SUM(H622:H637)</f>
        <v>0</v>
      </c>
      <c r="I621" s="69"/>
      <c r="J621" s="80"/>
      <c r="K621" s="70"/>
      <c r="L621" s="71">
        <v>0.9592425695651842</v>
      </c>
      <c r="M621" s="72">
        <f aca="true" t="shared" si="186" ref="M621:U621">SUM(M622:M637)</f>
        <v>512221.69999999995</v>
      </c>
      <c r="N621" s="72">
        <f t="shared" si="186"/>
        <v>464585.3</v>
      </c>
      <c r="O621" s="72">
        <f t="shared" si="186"/>
        <v>0</v>
      </c>
      <c r="P621" s="72">
        <f t="shared" si="186"/>
        <v>0</v>
      </c>
      <c r="Q621" s="72">
        <f t="shared" si="186"/>
        <v>0</v>
      </c>
      <c r="R621" s="72">
        <f t="shared" si="186"/>
        <v>0</v>
      </c>
      <c r="S621" s="72">
        <f t="shared" si="186"/>
        <v>0</v>
      </c>
      <c r="T621" s="72">
        <f t="shared" si="186"/>
        <v>10570.5</v>
      </c>
      <c r="U621" s="72">
        <f t="shared" si="186"/>
        <v>475155.8</v>
      </c>
      <c r="V621" s="73"/>
    </row>
    <row r="622" spans="1:22" ht="12.75" hidden="1">
      <c r="A622" s="52">
        <v>17</v>
      </c>
      <c r="B622" s="53" t="s">
        <v>51</v>
      </c>
      <c r="C622" s="54" t="s">
        <v>52</v>
      </c>
      <c r="D622" s="55" t="s">
        <v>1137</v>
      </c>
      <c r="E622" s="56" t="s">
        <v>1138</v>
      </c>
      <c r="F622" s="43">
        <v>63.779</v>
      </c>
      <c r="G622" s="128"/>
      <c r="H622" s="57"/>
      <c r="I622" s="58"/>
      <c r="J622" s="59">
        <f aca="true" t="shared" si="187" ref="J622:J637">+($F$7-$O$952-$Q$952-$P$952-$R$952-$S$952)/($F$952-$G$952*1-$H$952*0.5)*0.646*1.0268514</f>
        <v>742.8502282779862</v>
      </c>
      <c r="K622" s="60">
        <v>0.9336178972540682</v>
      </c>
      <c r="L622" s="75">
        <v>0.9317648656909466</v>
      </c>
      <c r="M622" s="63">
        <f aca="true" t="shared" si="188" ref="M622:M637">ROUND(J622*(F622-G622-H622*I622)*K622*(0.5+0.5*L622),1)</f>
        <v>42724</v>
      </c>
      <c r="N622" s="63">
        <f aca="true" t="shared" si="189" ref="N622:N637">ROUND(M622*0.907,1)</f>
        <v>38750.7</v>
      </c>
      <c r="O622" s="62"/>
      <c r="P622" s="76"/>
      <c r="Q622" s="77"/>
      <c r="R622" s="76"/>
      <c r="S622" s="77"/>
      <c r="T622" s="64"/>
      <c r="U622" s="45">
        <f aca="true" t="shared" si="190" ref="U622:U637">+N622+O622+T622+R622+S622+Q622</f>
        <v>38750.7</v>
      </c>
      <c r="V622" s="65"/>
    </row>
    <row r="623" spans="1:22" ht="12.75" hidden="1">
      <c r="A623" s="52">
        <v>17</v>
      </c>
      <c r="B623" s="53" t="s">
        <v>55</v>
      </c>
      <c r="C623" s="54" t="s">
        <v>52</v>
      </c>
      <c r="D623" s="55" t="s">
        <v>1139</v>
      </c>
      <c r="E623" s="56" t="s">
        <v>1140</v>
      </c>
      <c r="F623" s="43">
        <v>64.355</v>
      </c>
      <c r="G623" s="57"/>
      <c r="H623" s="57"/>
      <c r="I623" s="58"/>
      <c r="J623" s="59">
        <f t="shared" si="187"/>
        <v>742.8502282779862</v>
      </c>
      <c r="K623" s="60">
        <v>0.9336178972540682</v>
      </c>
      <c r="L623" s="75">
        <v>0.925656351102861</v>
      </c>
      <c r="M623" s="63">
        <f t="shared" si="188"/>
        <v>42973.6</v>
      </c>
      <c r="N623" s="63">
        <f t="shared" si="189"/>
        <v>38977.1</v>
      </c>
      <c r="O623" s="62"/>
      <c r="P623" s="76"/>
      <c r="Q623" s="77"/>
      <c r="R623" s="76"/>
      <c r="S623" s="77"/>
      <c r="T623" s="64"/>
      <c r="U623" s="45">
        <f t="shared" si="190"/>
        <v>38977.1</v>
      </c>
      <c r="V623" s="65"/>
    </row>
    <row r="624" spans="1:22" ht="12.75" hidden="1">
      <c r="A624" s="52">
        <v>17</v>
      </c>
      <c r="B624" s="53" t="s">
        <v>58</v>
      </c>
      <c r="C624" s="54" t="s">
        <v>52</v>
      </c>
      <c r="D624" s="55" t="s">
        <v>1141</v>
      </c>
      <c r="E624" s="56" t="s">
        <v>1142</v>
      </c>
      <c r="F624" s="43">
        <v>27.661</v>
      </c>
      <c r="G624" s="57"/>
      <c r="H624" s="57"/>
      <c r="I624" s="58"/>
      <c r="J624" s="59">
        <f t="shared" si="187"/>
        <v>742.8502282779862</v>
      </c>
      <c r="K624" s="60">
        <v>0.9336178972540682</v>
      </c>
      <c r="L624" s="75">
        <v>1.018500492344745</v>
      </c>
      <c r="M624" s="63">
        <f t="shared" si="188"/>
        <v>19361.4</v>
      </c>
      <c r="N624" s="63">
        <f t="shared" si="189"/>
        <v>17560.8</v>
      </c>
      <c r="O624" s="62"/>
      <c r="P624" s="76"/>
      <c r="Q624" s="77"/>
      <c r="R624" s="76"/>
      <c r="S624" s="77"/>
      <c r="T624" s="64"/>
      <c r="U624" s="45">
        <f t="shared" si="190"/>
        <v>17560.8</v>
      </c>
      <c r="V624" s="65"/>
    </row>
    <row r="625" spans="1:22" ht="12.75" hidden="1">
      <c r="A625" s="52">
        <v>17</v>
      </c>
      <c r="B625" s="53" t="s">
        <v>61</v>
      </c>
      <c r="C625" s="54" t="s">
        <v>52</v>
      </c>
      <c r="D625" s="55" t="s">
        <v>1143</v>
      </c>
      <c r="E625" s="56" t="s">
        <v>1144</v>
      </c>
      <c r="F625" s="43">
        <v>14.527</v>
      </c>
      <c r="G625" s="57"/>
      <c r="H625" s="57"/>
      <c r="I625" s="58"/>
      <c r="J625" s="59">
        <f t="shared" si="187"/>
        <v>742.8502282779862</v>
      </c>
      <c r="K625" s="60">
        <v>0.9336178972540682</v>
      </c>
      <c r="L625" s="75">
        <v>0.9958372725524025</v>
      </c>
      <c r="M625" s="63">
        <f t="shared" si="188"/>
        <v>10054.1</v>
      </c>
      <c r="N625" s="63">
        <f t="shared" si="189"/>
        <v>9119.1</v>
      </c>
      <c r="O625" s="62"/>
      <c r="P625" s="76"/>
      <c r="Q625" s="77"/>
      <c r="R625" s="76"/>
      <c r="S625" s="77"/>
      <c r="T625" s="64"/>
      <c r="U625" s="45">
        <f t="shared" si="190"/>
        <v>9119.1</v>
      </c>
      <c r="V625" s="65"/>
    </row>
    <row r="626" spans="1:22" ht="12.75" hidden="1">
      <c r="A626" s="52">
        <v>17</v>
      </c>
      <c r="B626" s="53" t="s">
        <v>64</v>
      </c>
      <c r="C626" s="54" t="s">
        <v>52</v>
      </c>
      <c r="D626" s="55" t="s">
        <v>1145</v>
      </c>
      <c r="E626" s="56" t="s">
        <v>1146</v>
      </c>
      <c r="F626" s="43">
        <v>35.584</v>
      </c>
      <c r="G626" s="57"/>
      <c r="H626" s="57"/>
      <c r="I626" s="58"/>
      <c r="J626" s="59">
        <f t="shared" si="187"/>
        <v>742.8502282779862</v>
      </c>
      <c r="K626" s="60">
        <v>0.9336178972540682</v>
      </c>
      <c r="L626" s="75">
        <v>1.0050982831974218</v>
      </c>
      <c r="M626" s="63">
        <f t="shared" si="188"/>
        <v>24741.8</v>
      </c>
      <c r="N626" s="63">
        <f t="shared" si="189"/>
        <v>22440.8</v>
      </c>
      <c r="O626" s="62"/>
      <c r="P626" s="76"/>
      <c r="Q626" s="77"/>
      <c r="R626" s="76"/>
      <c r="S626" s="77"/>
      <c r="T626" s="64"/>
      <c r="U626" s="45">
        <f t="shared" si="190"/>
        <v>22440.8</v>
      </c>
      <c r="V626" s="65"/>
    </row>
    <row r="627" spans="1:22" ht="12.75" hidden="1">
      <c r="A627" s="52">
        <v>17</v>
      </c>
      <c r="B627" s="53">
        <v>10</v>
      </c>
      <c r="C627" s="54" t="s">
        <v>52</v>
      </c>
      <c r="D627" s="55" t="s">
        <v>1147</v>
      </c>
      <c r="E627" s="56" t="s">
        <v>1148</v>
      </c>
      <c r="F627" s="43">
        <v>41.577</v>
      </c>
      <c r="G627" s="57"/>
      <c r="H627" s="57"/>
      <c r="I627" s="58"/>
      <c r="J627" s="59">
        <f t="shared" si="187"/>
        <v>742.8502282779862</v>
      </c>
      <c r="K627" s="60">
        <v>0.9336178972540682</v>
      </c>
      <c r="L627" s="75">
        <v>0.963339684885016</v>
      </c>
      <c r="M627" s="63">
        <f t="shared" si="188"/>
        <v>28306.7</v>
      </c>
      <c r="N627" s="63">
        <f t="shared" si="189"/>
        <v>25674.2</v>
      </c>
      <c r="O627" s="62"/>
      <c r="P627" s="76"/>
      <c r="Q627" s="77"/>
      <c r="R627" s="76"/>
      <c r="S627" s="77"/>
      <c r="T627" s="64"/>
      <c r="U627" s="45">
        <f t="shared" si="190"/>
        <v>25674.2</v>
      </c>
      <c r="V627" s="65"/>
    </row>
    <row r="628" spans="1:22" ht="12.75" hidden="1">
      <c r="A628" s="52">
        <v>17</v>
      </c>
      <c r="B628" s="53">
        <v>11</v>
      </c>
      <c r="C628" s="54" t="s">
        <v>52</v>
      </c>
      <c r="D628" s="55" t="s">
        <v>1149</v>
      </c>
      <c r="E628" s="56" t="s">
        <v>1150</v>
      </c>
      <c r="F628" s="43">
        <v>30.143</v>
      </c>
      <c r="G628" s="57"/>
      <c r="H628" s="57"/>
      <c r="I628" s="58"/>
      <c r="J628" s="59">
        <f t="shared" si="187"/>
        <v>742.8502282779862</v>
      </c>
      <c r="K628" s="60">
        <v>0.9336178972540682</v>
      </c>
      <c r="L628" s="75">
        <v>0.9481491778279838</v>
      </c>
      <c r="M628" s="63">
        <f t="shared" si="188"/>
        <v>20363.3</v>
      </c>
      <c r="N628" s="63">
        <f t="shared" si="189"/>
        <v>18469.5</v>
      </c>
      <c r="O628" s="62"/>
      <c r="P628" s="76"/>
      <c r="Q628" s="77"/>
      <c r="R628" s="76"/>
      <c r="S628" s="77"/>
      <c r="T628" s="64"/>
      <c r="U628" s="45">
        <f t="shared" si="190"/>
        <v>18469.5</v>
      </c>
      <c r="V628" s="65"/>
    </row>
    <row r="629" spans="1:22" ht="12.75" hidden="1">
      <c r="A629" s="52">
        <v>17</v>
      </c>
      <c r="B629" s="53">
        <v>12</v>
      </c>
      <c r="C629" s="54" t="s">
        <v>52</v>
      </c>
      <c r="D629" s="55" t="s">
        <v>1151</v>
      </c>
      <c r="E629" s="56" t="s">
        <v>1152</v>
      </c>
      <c r="F629" s="43">
        <v>57.129</v>
      </c>
      <c r="G629" s="57"/>
      <c r="H629" s="57"/>
      <c r="I629" s="58"/>
      <c r="J629" s="59">
        <f t="shared" si="187"/>
        <v>742.8502282779862</v>
      </c>
      <c r="K629" s="60">
        <v>0.9336178972540682</v>
      </c>
      <c r="L629" s="75">
        <v>0.997364151563552</v>
      </c>
      <c r="M629" s="63">
        <f t="shared" si="188"/>
        <v>39568.9</v>
      </c>
      <c r="N629" s="63">
        <f t="shared" si="189"/>
        <v>35889</v>
      </c>
      <c r="O629" s="62"/>
      <c r="P629" s="76"/>
      <c r="Q629" s="77"/>
      <c r="R629" s="76"/>
      <c r="S629" s="77"/>
      <c r="T629" s="64"/>
      <c r="U629" s="45">
        <f t="shared" si="190"/>
        <v>35889</v>
      </c>
      <c r="V629" s="65"/>
    </row>
    <row r="630" spans="1:22" ht="12.75" hidden="1">
      <c r="A630" s="52">
        <v>17</v>
      </c>
      <c r="B630" s="53">
        <v>13</v>
      </c>
      <c r="C630" s="54" t="s">
        <v>52</v>
      </c>
      <c r="D630" s="55" t="s">
        <v>1153</v>
      </c>
      <c r="E630" s="56" t="s">
        <v>1154</v>
      </c>
      <c r="F630" s="43">
        <v>33.666</v>
      </c>
      <c r="G630" s="57"/>
      <c r="H630" s="57"/>
      <c r="I630" s="58"/>
      <c r="J630" s="59">
        <f t="shared" si="187"/>
        <v>742.8502282779862</v>
      </c>
      <c r="K630" s="60">
        <v>0.9336178972540682</v>
      </c>
      <c r="L630" s="75">
        <v>1.0078247567663579</v>
      </c>
      <c r="M630" s="63">
        <f t="shared" si="188"/>
        <v>23440</v>
      </c>
      <c r="N630" s="63">
        <f t="shared" si="189"/>
        <v>21260.1</v>
      </c>
      <c r="O630" s="62"/>
      <c r="P630" s="76"/>
      <c r="Q630" s="77"/>
      <c r="R630" s="76"/>
      <c r="S630" s="77"/>
      <c r="T630" s="64"/>
      <c r="U630" s="45">
        <f t="shared" si="190"/>
        <v>21260.1</v>
      </c>
      <c r="V630" s="65"/>
    </row>
    <row r="631" spans="1:22" s="82" customFormat="1" ht="13.5" hidden="1">
      <c r="A631" s="52">
        <v>17</v>
      </c>
      <c r="B631" s="53">
        <v>14</v>
      </c>
      <c r="C631" s="54" t="s">
        <v>52</v>
      </c>
      <c r="D631" s="55" t="s">
        <v>1155</v>
      </c>
      <c r="E631" s="56" t="s">
        <v>1156</v>
      </c>
      <c r="F631" s="43">
        <v>64.56</v>
      </c>
      <c r="G631" s="57"/>
      <c r="H631" s="57"/>
      <c r="I631" s="58"/>
      <c r="J631" s="59">
        <f t="shared" si="187"/>
        <v>742.8502282779862</v>
      </c>
      <c r="K631" s="60">
        <v>0.9336178972540682</v>
      </c>
      <c r="L631" s="75">
        <v>0.977165380453495</v>
      </c>
      <c r="M631" s="63">
        <f t="shared" si="188"/>
        <v>44263.6</v>
      </c>
      <c r="N631" s="63">
        <f t="shared" si="189"/>
        <v>40147.1</v>
      </c>
      <c r="O631" s="62"/>
      <c r="P631" s="76"/>
      <c r="Q631" s="77"/>
      <c r="R631" s="76"/>
      <c r="S631" s="77"/>
      <c r="T631" s="64"/>
      <c r="U631" s="45">
        <f t="shared" si="190"/>
        <v>40147.1</v>
      </c>
      <c r="V631" s="65"/>
    </row>
    <row r="632" spans="1:22" s="82" customFormat="1" ht="13.5" hidden="1">
      <c r="A632" s="52">
        <v>17</v>
      </c>
      <c r="B632" s="53">
        <v>15</v>
      </c>
      <c r="C632" s="54" t="s">
        <v>52</v>
      </c>
      <c r="D632" s="55" t="s">
        <v>1157</v>
      </c>
      <c r="E632" s="56" t="s">
        <v>1158</v>
      </c>
      <c r="F632" s="43">
        <v>35.698</v>
      </c>
      <c r="G632" s="57"/>
      <c r="H632" s="57"/>
      <c r="I632" s="58"/>
      <c r="J632" s="59">
        <f t="shared" si="187"/>
        <v>742.8502282779862</v>
      </c>
      <c r="K632" s="60">
        <v>0.9336178972540682</v>
      </c>
      <c r="L632" s="75">
        <v>0.9830442799849428</v>
      </c>
      <c r="M632" s="63">
        <f t="shared" si="188"/>
        <v>24548</v>
      </c>
      <c r="N632" s="63">
        <f t="shared" si="189"/>
        <v>22265</v>
      </c>
      <c r="O632" s="62"/>
      <c r="P632" s="76"/>
      <c r="Q632" s="77"/>
      <c r="R632" s="76"/>
      <c r="S632" s="77"/>
      <c r="T632" s="64"/>
      <c r="U632" s="45">
        <f t="shared" si="190"/>
        <v>22265</v>
      </c>
      <c r="V632" s="65"/>
    </row>
    <row r="633" spans="1:22" s="129" customFormat="1" ht="12.75" hidden="1">
      <c r="A633" s="52">
        <v>17</v>
      </c>
      <c r="B633" s="53">
        <v>16</v>
      </c>
      <c r="C633" s="54" t="s">
        <v>52</v>
      </c>
      <c r="D633" s="55" t="s">
        <v>1159</v>
      </c>
      <c r="E633" s="56" t="s">
        <v>1160</v>
      </c>
      <c r="F633" s="43">
        <v>28.671</v>
      </c>
      <c r="G633" s="57"/>
      <c r="H633" s="57"/>
      <c r="I633" s="58"/>
      <c r="J633" s="59">
        <f t="shared" si="187"/>
        <v>742.8502282779862</v>
      </c>
      <c r="K633" s="60">
        <v>0.9336178972540682</v>
      </c>
      <c r="L633" s="75">
        <v>1.009288103892166</v>
      </c>
      <c r="M633" s="63">
        <f t="shared" si="188"/>
        <v>19976.8</v>
      </c>
      <c r="N633" s="63">
        <f t="shared" si="189"/>
        <v>18119</v>
      </c>
      <c r="O633" s="62"/>
      <c r="P633" s="76"/>
      <c r="Q633" s="77"/>
      <c r="R633" s="76"/>
      <c r="S633" s="77"/>
      <c r="T633" s="64">
        <f>ROUND(N620,1)</f>
        <v>10570.5</v>
      </c>
      <c r="U633" s="45">
        <f t="shared" si="190"/>
        <v>28689.5</v>
      </c>
      <c r="V633" s="65"/>
    </row>
    <row r="634" spans="1:22" s="91" customFormat="1" ht="12.75" hidden="1">
      <c r="A634" s="52">
        <v>17</v>
      </c>
      <c r="B634" s="53">
        <v>17</v>
      </c>
      <c r="C634" s="54" t="s">
        <v>52</v>
      </c>
      <c r="D634" s="55" t="s">
        <v>1161</v>
      </c>
      <c r="E634" s="56" t="s">
        <v>1162</v>
      </c>
      <c r="F634" s="43">
        <v>15.566</v>
      </c>
      <c r="G634" s="57"/>
      <c r="H634" s="57"/>
      <c r="I634" s="58"/>
      <c r="J634" s="59">
        <f t="shared" si="187"/>
        <v>742.8502282779862</v>
      </c>
      <c r="K634" s="60">
        <v>0.9336178972540682</v>
      </c>
      <c r="L634" s="75">
        <v>0.992115334443025</v>
      </c>
      <c r="M634" s="63">
        <f t="shared" si="188"/>
        <v>10753.1</v>
      </c>
      <c r="N634" s="63">
        <f t="shared" si="189"/>
        <v>9753.1</v>
      </c>
      <c r="O634" s="62"/>
      <c r="P634" s="76"/>
      <c r="Q634" s="77"/>
      <c r="R634" s="76"/>
      <c r="S634" s="77"/>
      <c r="T634" s="64"/>
      <c r="U634" s="45">
        <f t="shared" si="190"/>
        <v>9753.1</v>
      </c>
      <c r="V634" s="65"/>
    </row>
    <row r="635" spans="1:22" s="155" customFormat="1" ht="12.75" hidden="1">
      <c r="A635" s="52">
        <v>17</v>
      </c>
      <c r="B635" s="53">
        <v>18</v>
      </c>
      <c r="C635" s="54" t="s">
        <v>52</v>
      </c>
      <c r="D635" s="55" t="s">
        <v>1163</v>
      </c>
      <c r="E635" s="56" t="s">
        <v>1164</v>
      </c>
      <c r="F635" s="43">
        <v>91.88</v>
      </c>
      <c r="G635" s="57"/>
      <c r="H635" s="57"/>
      <c r="I635" s="58"/>
      <c r="J635" s="59">
        <f t="shared" si="187"/>
        <v>742.8502282779862</v>
      </c>
      <c r="K635" s="60">
        <v>0.9336178972540682</v>
      </c>
      <c r="L635" s="75">
        <v>0.966174884366464</v>
      </c>
      <c r="M635" s="63">
        <f t="shared" si="188"/>
        <v>62644.6</v>
      </c>
      <c r="N635" s="63">
        <f t="shared" si="189"/>
        <v>56818.7</v>
      </c>
      <c r="O635" s="62"/>
      <c r="P635" s="76"/>
      <c r="Q635" s="77"/>
      <c r="R635" s="76"/>
      <c r="S635" s="77"/>
      <c r="T635" s="64"/>
      <c r="U635" s="45">
        <f t="shared" si="190"/>
        <v>56818.7</v>
      </c>
      <c r="V635" s="65"/>
    </row>
    <row r="636" spans="1:22" ht="12.75" hidden="1">
      <c r="A636" s="52">
        <v>17</v>
      </c>
      <c r="B636" s="53">
        <v>19</v>
      </c>
      <c r="C636" s="54" t="s">
        <v>52</v>
      </c>
      <c r="D636" s="55" t="s">
        <v>1165</v>
      </c>
      <c r="E636" s="56" t="s">
        <v>1166</v>
      </c>
      <c r="F636" s="43">
        <v>56.662</v>
      </c>
      <c r="G636" s="57"/>
      <c r="H636" s="57"/>
      <c r="I636" s="58"/>
      <c r="J636" s="59">
        <f t="shared" si="187"/>
        <v>742.8502282779862</v>
      </c>
      <c r="K636" s="60">
        <v>0.9336178972540682</v>
      </c>
      <c r="L636" s="75">
        <v>0.890076447763393</v>
      </c>
      <c r="M636" s="63">
        <f t="shared" si="188"/>
        <v>37137.4</v>
      </c>
      <c r="N636" s="63">
        <f t="shared" si="189"/>
        <v>33683.6</v>
      </c>
      <c r="O636" s="62"/>
      <c r="P636" s="76"/>
      <c r="Q636" s="77"/>
      <c r="R636" s="76"/>
      <c r="S636" s="77"/>
      <c r="T636" s="64"/>
      <c r="U636" s="45">
        <f t="shared" si="190"/>
        <v>33683.6</v>
      </c>
      <c r="V636" s="65"/>
    </row>
    <row r="637" spans="1:22" ht="12.75" hidden="1">
      <c r="A637" s="52">
        <v>17</v>
      </c>
      <c r="B637" s="53">
        <v>20</v>
      </c>
      <c r="C637" s="54" t="s">
        <v>52</v>
      </c>
      <c r="D637" s="55" t="s">
        <v>1167</v>
      </c>
      <c r="E637" s="56" t="s">
        <v>1168</v>
      </c>
      <c r="F637" s="43">
        <v>92.975</v>
      </c>
      <c r="G637" s="57"/>
      <c r="H637" s="57"/>
      <c r="I637" s="58"/>
      <c r="J637" s="59">
        <f t="shared" si="187"/>
        <v>742.8502282779862</v>
      </c>
      <c r="K637" s="60">
        <v>0.9336178972540682</v>
      </c>
      <c r="L637" s="75">
        <v>0.9033113995994778</v>
      </c>
      <c r="M637" s="63">
        <f t="shared" si="188"/>
        <v>61364.4</v>
      </c>
      <c r="N637" s="63">
        <f t="shared" si="189"/>
        <v>55657.5</v>
      </c>
      <c r="O637" s="62"/>
      <c r="P637" s="76"/>
      <c r="Q637" s="77"/>
      <c r="R637" s="76"/>
      <c r="S637" s="77"/>
      <c r="T637" s="64"/>
      <c r="U637" s="45">
        <f t="shared" si="190"/>
        <v>55657.5</v>
      </c>
      <c r="V637" s="65"/>
    </row>
    <row r="638" spans="1:22" ht="25.5" hidden="1">
      <c r="A638" s="38">
        <v>17</v>
      </c>
      <c r="B638" s="39" t="s">
        <v>26</v>
      </c>
      <c r="C638" s="40" t="s">
        <v>111</v>
      </c>
      <c r="D638" s="55"/>
      <c r="E638" s="79" t="s">
        <v>112</v>
      </c>
      <c r="F638" s="43">
        <f>SUM(F639:F648)</f>
        <v>63.42</v>
      </c>
      <c r="G638" s="43">
        <f>SUM(G639:G648)</f>
        <v>0</v>
      </c>
      <c r="H638" s="43">
        <f>SUM(H639:H648)</f>
        <v>0</v>
      </c>
      <c r="I638" s="122"/>
      <c r="J638" s="123"/>
      <c r="K638" s="122"/>
      <c r="L638" s="84">
        <v>0</v>
      </c>
      <c r="M638" s="43">
        <f>SUM(M639:M648)</f>
        <v>43454.99999999999</v>
      </c>
      <c r="N638" s="43">
        <f>SUM(N639:N648)</f>
        <v>39413.700000000004</v>
      </c>
      <c r="O638" s="43">
        <f aca="true" t="shared" si="191" ref="O638:T638">SUM(O639:O648)</f>
        <v>0</v>
      </c>
      <c r="P638" s="43">
        <f t="shared" si="191"/>
        <v>0</v>
      </c>
      <c r="Q638" s="43">
        <f t="shared" si="191"/>
        <v>0</v>
      </c>
      <c r="R638" s="43">
        <f t="shared" si="191"/>
        <v>0</v>
      </c>
      <c r="S638" s="43">
        <f t="shared" si="191"/>
        <v>0</v>
      </c>
      <c r="T638" s="43">
        <f t="shared" si="191"/>
        <v>0</v>
      </c>
      <c r="U638" s="43">
        <f>SUM(U639:U648)</f>
        <v>39413.700000000004</v>
      </c>
      <c r="V638" s="125"/>
    </row>
    <row r="639" spans="1:22" ht="25.5" hidden="1">
      <c r="A639" s="52">
        <v>17</v>
      </c>
      <c r="B639" s="53">
        <v>21</v>
      </c>
      <c r="C639" s="54" t="s">
        <v>113</v>
      </c>
      <c r="D639" s="55" t="s">
        <v>1169</v>
      </c>
      <c r="E639" s="90" t="s">
        <v>1170</v>
      </c>
      <c r="F639" s="43">
        <v>3.304</v>
      </c>
      <c r="G639" s="57"/>
      <c r="H639" s="57"/>
      <c r="I639" s="58"/>
      <c r="J639" s="59">
        <f aca="true" t="shared" si="192" ref="J639:J648">+($F$7-$O$952-$Q$952-$P$952-$R$952-$S$952)/($F$952-$G$952*1-$H$952*0.5)*0.646*1.0268514</f>
        <v>742.8502282779862</v>
      </c>
      <c r="K639" s="60">
        <v>0.9336178972540682</v>
      </c>
      <c r="L639" s="75">
        <v>1.018500492344745</v>
      </c>
      <c r="M639" s="63">
        <f aca="true" t="shared" si="193" ref="M639:M646">ROUND(J639*(F639-G639-H639*I639)*K639*(0.5+0.5*L639),1)</f>
        <v>2312.6</v>
      </c>
      <c r="N639" s="63">
        <f aca="true" t="shared" si="194" ref="N639:N648">ROUND(M639*0.907,1)</f>
        <v>2097.5</v>
      </c>
      <c r="O639" s="62"/>
      <c r="P639" s="76"/>
      <c r="Q639" s="77"/>
      <c r="R639" s="76"/>
      <c r="S639" s="77"/>
      <c r="T639" s="64"/>
      <c r="U639" s="45">
        <f aca="true" t="shared" si="195" ref="U639:U646">+N639+O639+T639+R639+S639+Q639</f>
        <v>2097.5</v>
      </c>
      <c r="V639" s="65"/>
    </row>
    <row r="640" spans="1:22" ht="25.5" hidden="1">
      <c r="A640" s="52">
        <v>17</v>
      </c>
      <c r="B640" s="53">
        <v>22</v>
      </c>
      <c r="C640" s="54" t="s">
        <v>113</v>
      </c>
      <c r="D640" s="55" t="s">
        <v>1171</v>
      </c>
      <c r="E640" s="90" t="s">
        <v>1172</v>
      </c>
      <c r="F640" s="43">
        <v>4.295</v>
      </c>
      <c r="G640" s="57"/>
      <c r="H640" s="57"/>
      <c r="I640" s="58"/>
      <c r="J640" s="59">
        <f t="shared" si="192"/>
        <v>742.8502282779862</v>
      </c>
      <c r="K640" s="60">
        <v>0.9336178972540682</v>
      </c>
      <c r="L640" s="75">
        <v>1.018500492344745</v>
      </c>
      <c r="M640" s="63">
        <f t="shared" si="193"/>
        <v>3006.3</v>
      </c>
      <c r="N640" s="63">
        <f t="shared" si="194"/>
        <v>2726.7</v>
      </c>
      <c r="O640" s="62"/>
      <c r="P640" s="76"/>
      <c r="Q640" s="77"/>
      <c r="R640" s="76"/>
      <c r="S640" s="77"/>
      <c r="T640" s="64"/>
      <c r="U640" s="45">
        <f t="shared" si="195"/>
        <v>2726.7</v>
      </c>
      <c r="V640" s="65"/>
    </row>
    <row r="641" spans="1:22" ht="25.5" hidden="1">
      <c r="A641" s="52">
        <v>17</v>
      </c>
      <c r="B641" s="53">
        <v>23</v>
      </c>
      <c r="C641" s="54" t="s">
        <v>113</v>
      </c>
      <c r="D641" s="55" t="s">
        <v>1173</v>
      </c>
      <c r="E641" s="90" t="s">
        <v>1174</v>
      </c>
      <c r="F641" s="43">
        <v>10.477</v>
      </c>
      <c r="G641" s="57"/>
      <c r="H641" s="57"/>
      <c r="I641" s="58"/>
      <c r="J641" s="59">
        <f t="shared" si="192"/>
        <v>742.8502282779862</v>
      </c>
      <c r="K641" s="60">
        <v>0.9336178972540682</v>
      </c>
      <c r="L641" s="75">
        <v>0.9033113995994778</v>
      </c>
      <c r="M641" s="63">
        <f t="shared" si="193"/>
        <v>6914.9</v>
      </c>
      <c r="N641" s="63">
        <f t="shared" si="194"/>
        <v>6271.8</v>
      </c>
      <c r="O641" s="62"/>
      <c r="P641" s="76"/>
      <c r="Q641" s="77"/>
      <c r="R641" s="76"/>
      <c r="S641" s="77"/>
      <c r="T641" s="64"/>
      <c r="U641" s="45">
        <f t="shared" si="195"/>
        <v>6271.8</v>
      </c>
      <c r="V641" s="65"/>
    </row>
    <row r="642" spans="1:22" ht="25.5" hidden="1">
      <c r="A642" s="52">
        <v>17</v>
      </c>
      <c r="B642" s="53">
        <v>24</v>
      </c>
      <c r="C642" s="54" t="s">
        <v>113</v>
      </c>
      <c r="D642" s="164" t="s">
        <v>1175</v>
      </c>
      <c r="E642" s="90" t="s">
        <v>1176</v>
      </c>
      <c r="F642" s="43">
        <v>6.384</v>
      </c>
      <c r="G642" s="57"/>
      <c r="H642" s="57"/>
      <c r="I642" s="58"/>
      <c r="J642" s="59">
        <f t="shared" si="192"/>
        <v>742.8502282779862</v>
      </c>
      <c r="K642" s="60">
        <v>0.9336178972540682</v>
      </c>
      <c r="L642" s="75">
        <v>0.963339684885016</v>
      </c>
      <c r="M642" s="63">
        <f t="shared" si="193"/>
        <v>4346.4</v>
      </c>
      <c r="N642" s="63">
        <f t="shared" si="194"/>
        <v>3942.2</v>
      </c>
      <c r="O642" s="62"/>
      <c r="P642" s="76"/>
      <c r="Q642" s="77"/>
      <c r="R642" s="76"/>
      <c r="S642" s="77"/>
      <c r="T642" s="64"/>
      <c r="U642" s="45">
        <f t="shared" si="195"/>
        <v>3942.2</v>
      </c>
      <c r="V642" s="65"/>
    </row>
    <row r="643" spans="1:22" ht="25.5" hidden="1">
      <c r="A643" s="52">
        <v>17</v>
      </c>
      <c r="B643" s="53">
        <v>25</v>
      </c>
      <c r="C643" s="54" t="s">
        <v>113</v>
      </c>
      <c r="D643" s="164" t="s">
        <v>1177</v>
      </c>
      <c r="E643" s="90" t="s">
        <v>1178</v>
      </c>
      <c r="F643" s="43">
        <v>1.889</v>
      </c>
      <c r="G643" s="57"/>
      <c r="H643" s="57"/>
      <c r="I643" s="58"/>
      <c r="J643" s="59">
        <f t="shared" si="192"/>
        <v>742.8502282779862</v>
      </c>
      <c r="K643" s="60">
        <v>0.9336178972540682</v>
      </c>
      <c r="L643" s="75">
        <v>0.9830442799849428</v>
      </c>
      <c r="M643" s="63">
        <f t="shared" si="193"/>
        <v>1299</v>
      </c>
      <c r="N643" s="63">
        <f t="shared" si="194"/>
        <v>1178.2</v>
      </c>
      <c r="O643" s="62"/>
      <c r="P643" s="76"/>
      <c r="Q643" s="77"/>
      <c r="R643" s="76"/>
      <c r="S643" s="77"/>
      <c r="T643" s="64"/>
      <c r="U643" s="45">
        <f t="shared" si="195"/>
        <v>1178.2</v>
      </c>
      <c r="V643" s="65"/>
    </row>
    <row r="644" spans="1:22" s="121" customFormat="1" ht="25.5" hidden="1">
      <c r="A644" s="104">
        <v>17</v>
      </c>
      <c r="B644" s="105">
        <v>26</v>
      </c>
      <c r="C644" s="106" t="s">
        <v>113</v>
      </c>
      <c r="D644" s="119" t="s">
        <v>1179</v>
      </c>
      <c r="E644" s="157" t="s">
        <v>1180</v>
      </c>
      <c r="F644" s="109">
        <v>16.033</v>
      </c>
      <c r="G644" s="158"/>
      <c r="H644" s="158"/>
      <c r="I644" s="159"/>
      <c r="J644" s="112">
        <f t="shared" si="192"/>
        <v>742.8502282779862</v>
      </c>
      <c r="K644" s="113">
        <v>0.9336178972540682</v>
      </c>
      <c r="L644" s="75">
        <v>0.992115334443025</v>
      </c>
      <c r="M644" s="63">
        <f t="shared" si="193"/>
        <v>11075.7</v>
      </c>
      <c r="N644" s="63">
        <f t="shared" si="194"/>
        <v>10045.7</v>
      </c>
      <c r="O644" s="62"/>
      <c r="P644" s="160"/>
      <c r="Q644" s="77"/>
      <c r="R644" s="76"/>
      <c r="S644" s="77"/>
      <c r="T644" s="115"/>
      <c r="U644" s="116">
        <f t="shared" si="195"/>
        <v>10045.7</v>
      </c>
      <c r="V644" s="117"/>
    </row>
    <row r="645" spans="1:22" s="194" customFormat="1" ht="25.5" hidden="1">
      <c r="A645" s="104">
        <v>17</v>
      </c>
      <c r="B645" s="105">
        <v>27</v>
      </c>
      <c r="C645" s="106" t="s">
        <v>113</v>
      </c>
      <c r="D645" s="119" t="s">
        <v>1181</v>
      </c>
      <c r="E645" s="157" t="s">
        <v>1182</v>
      </c>
      <c r="F645" s="109">
        <v>5.8</v>
      </c>
      <c r="G645" s="158"/>
      <c r="H645" s="158"/>
      <c r="I645" s="159"/>
      <c r="J645" s="112">
        <f t="shared" si="192"/>
        <v>742.8502282779862</v>
      </c>
      <c r="K645" s="113">
        <v>0.9336178972540682</v>
      </c>
      <c r="L645" s="75">
        <v>0.992115334443025</v>
      </c>
      <c r="M645" s="63">
        <f t="shared" si="193"/>
        <v>4006.7</v>
      </c>
      <c r="N645" s="63">
        <f t="shared" si="194"/>
        <v>3634.1</v>
      </c>
      <c r="O645" s="62"/>
      <c r="P645" s="160"/>
      <c r="Q645" s="77"/>
      <c r="R645" s="76"/>
      <c r="S645" s="77"/>
      <c r="T645" s="115"/>
      <c r="U645" s="116">
        <f t="shared" si="195"/>
        <v>3634.1</v>
      </c>
      <c r="V645" s="117"/>
    </row>
    <row r="646" spans="1:22" s="195" customFormat="1" ht="25.5" hidden="1">
      <c r="A646" s="104">
        <v>17</v>
      </c>
      <c r="B646" s="105">
        <v>28</v>
      </c>
      <c r="C646" s="106" t="s">
        <v>113</v>
      </c>
      <c r="D646" s="119" t="s">
        <v>1183</v>
      </c>
      <c r="E646" s="157" t="s">
        <v>1184</v>
      </c>
      <c r="F646" s="109">
        <v>3.045</v>
      </c>
      <c r="G646" s="158"/>
      <c r="H646" s="158"/>
      <c r="I646" s="159"/>
      <c r="J646" s="112">
        <f t="shared" si="192"/>
        <v>742.8502282779862</v>
      </c>
      <c r="K646" s="113">
        <v>0.9336178972540682</v>
      </c>
      <c r="L646" s="75">
        <v>1.0050982831974218</v>
      </c>
      <c r="M646" s="63">
        <f t="shared" si="193"/>
        <v>2117.2</v>
      </c>
      <c r="N646" s="63">
        <f t="shared" si="194"/>
        <v>1920.3</v>
      </c>
      <c r="O646" s="62"/>
      <c r="P646" s="160"/>
      <c r="Q646" s="77"/>
      <c r="R646" s="76"/>
      <c r="S646" s="77"/>
      <c r="T646" s="115"/>
      <c r="U646" s="116">
        <f t="shared" si="195"/>
        <v>1920.3</v>
      </c>
      <c r="V646" s="117"/>
    </row>
    <row r="647" spans="1:22" s="195" customFormat="1" ht="25.5" hidden="1">
      <c r="A647" s="104">
        <v>17</v>
      </c>
      <c r="B647" s="105">
        <v>28</v>
      </c>
      <c r="C647" s="106" t="s">
        <v>113</v>
      </c>
      <c r="D647" s="119" t="s">
        <v>1183</v>
      </c>
      <c r="E647" s="157" t="s">
        <v>1185</v>
      </c>
      <c r="F647" s="109">
        <v>7.041</v>
      </c>
      <c r="G647" s="158"/>
      <c r="H647" s="158"/>
      <c r="I647" s="159"/>
      <c r="J647" s="112">
        <f t="shared" si="192"/>
        <v>742.8502282779862</v>
      </c>
      <c r="K647" s="113">
        <v>0.9336178972540682</v>
      </c>
      <c r="L647" s="75">
        <v>1.0050982831974218</v>
      </c>
      <c r="M647" s="63">
        <f>ROUND(J647*(F647-G647-H647*I647)*K647*(0.5+0.5*L647),1)</f>
        <v>4895.7</v>
      </c>
      <c r="N647" s="63">
        <f t="shared" si="194"/>
        <v>4440.4</v>
      </c>
      <c r="O647" s="62"/>
      <c r="P647" s="160"/>
      <c r="Q647" s="77"/>
      <c r="R647" s="76"/>
      <c r="S647" s="77"/>
      <c r="T647" s="115"/>
      <c r="U647" s="116">
        <f>+N647+O647+T647+R647+S647+Q647</f>
        <v>4440.4</v>
      </c>
      <c r="V647" s="117"/>
    </row>
    <row r="648" spans="1:22" s="195" customFormat="1" ht="25.5" hidden="1">
      <c r="A648" s="104">
        <v>17</v>
      </c>
      <c r="B648" s="105">
        <v>28</v>
      </c>
      <c r="C648" s="106" t="s">
        <v>113</v>
      </c>
      <c r="D648" s="119" t="s">
        <v>1183</v>
      </c>
      <c r="E648" s="157" t="s">
        <v>1186</v>
      </c>
      <c r="F648" s="109">
        <v>5.152</v>
      </c>
      <c r="G648" s="158"/>
      <c r="H648" s="158"/>
      <c r="I648" s="159"/>
      <c r="J648" s="112">
        <f t="shared" si="192"/>
        <v>742.8502282779862</v>
      </c>
      <c r="K648" s="113">
        <v>0.9336178972540682</v>
      </c>
      <c r="L648" s="75">
        <v>0.9481491778279838</v>
      </c>
      <c r="M648" s="63">
        <f>ROUND(J648*(F648-G648-H648*I648)*K648*(0.5+0.5*L648),1)</f>
        <v>3480.5</v>
      </c>
      <c r="N648" s="63">
        <f t="shared" si="194"/>
        <v>3156.8</v>
      </c>
      <c r="O648" s="62"/>
      <c r="P648" s="160"/>
      <c r="Q648" s="77"/>
      <c r="R648" s="76"/>
      <c r="S648" s="77"/>
      <c r="T648" s="115"/>
      <c r="U648" s="116">
        <f>+N648+O648+T648+R648+S648+Q648</f>
        <v>3156.8</v>
      </c>
      <c r="V648" s="117"/>
    </row>
    <row r="649" spans="1:22" ht="25.5" hidden="1">
      <c r="A649" s="170">
        <v>18</v>
      </c>
      <c r="B649" s="167" t="s">
        <v>26</v>
      </c>
      <c r="C649" s="40" t="s">
        <v>27</v>
      </c>
      <c r="D649" s="55"/>
      <c r="E649" s="168" t="s">
        <v>1187</v>
      </c>
      <c r="F649" s="43">
        <f>F650+F651+F659+F678</f>
        <v>1113.256</v>
      </c>
      <c r="G649" s="44">
        <f>+G650+G651+G659+G678</f>
        <v>0</v>
      </c>
      <c r="H649" s="44">
        <f>+H650+H651+H659+H678</f>
        <v>0</v>
      </c>
      <c r="I649" s="45"/>
      <c r="J649" s="46"/>
      <c r="K649" s="47"/>
      <c r="L649" s="48">
        <v>1.03297223194557</v>
      </c>
      <c r="M649" s="49">
        <f aca="true" t="shared" si="196" ref="M649:U649">+M650+M651+M659+M678</f>
        <v>1268893.3</v>
      </c>
      <c r="N649" s="49">
        <f t="shared" si="196"/>
        <v>1268893.2999999998</v>
      </c>
      <c r="O649" s="49">
        <f t="shared" si="196"/>
        <v>0</v>
      </c>
      <c r="P649" s="49">
        <f t="shared" si="196"/>
        <v>700.7</v>
      </c>
      <c r="Q649" s="49">
        <f t="shared" si="196"/>
        <v>15218.3</v>
      </c>
      <c r="R649" s="49">
        <f t="shared" si="196"/>
        <v>39968.8</v>
      </c>
      <c r="S649" s="49">
        <f t="shared" si="196"/>
        <v>136.7</v>
      </c>
      <c r="T649" s="49">
        <f t="shared" si="196"/>
        <v>0</v>
      </c>
      <c r="U649" s="49">
        <f t="shared" si="196"/>
        <v>1324917.8</v>
      </c>
      <c r="V649" s="65"/>
    </row>
    <row r="650" spans="1:22" ht="12.75" hidden="1">
      <c r="A650" s="52">
        <v>18</v>
      </c>
      <c r="B650" s="53" t="s">
        <v>26</v>
      </c>
      <c r="C650" s="54" t="s">
        <v>29</v>
      </c>
      <c r="D650" s="55" t="s">
        <v>1188</v>
      </c>
      <c r="E650" s="56" t="s">
        <v>31</v>
      </c>
      <c r="F650" s="43">
        <v>0</v>
      </c>
      <c r="G650" s="128"/>
      <c r="H650" s="128"/>
      <c r="I650" s="58"/>
      <c r="J650" s="59">
        <f>+($F$7-$O$952-$Q$952-$P$952-R$952-$S$952)/$F$952*0.354*0.951</f>
        <v>376.76602120660414</v>
      </c>
      <c r="K650" s="60">
        <v>0</v>
      </c>
      <c r="L650" s="48">
        <v>1.03297223194557</v>
      </c>
      <c r="M650" s="49">
        <f>ROUND(J650*(F651+F659+F678)*(0.5+0.5*L650),1)</f>
        <v>426351.9</v>
      </c>
      <c r="N650" s="49">
        <f>M650+ROUND(SUM(M652:M658)*0.117+SUM(M660:M677)*0.093+SUM(M679)*0.093,1)+0.1</f>
        <v>515932.9</v>
      </c>
      <c r="O650" s="61"/>
      <c r="P650" s="62">
        <v>700.7</v>
      </c>
      <c r="Q650" s="63">
        <v>15218.3</v>
      </c>
      <c r="R650" s="62">
        <v>39968.8</v>
      </c>
      <c r="S650" s="63">
        <v>136.7</v>
      </c>
      <c r="T650" s="64"/>
      <c r="U650" s="45">
        <f>N650+O650+P650+Q650+R650+S650+T650</f>
        <v>571957.4</v>
      </c>
      <c r="V650" s="65"/>
    </row>
    <row r="651" spans="1:22" ht="13.5" hidden="1">
      <c r="A651" s="38">
        <v>18</v>
      </c>
      <c r="B651" s="39" t="s">
        <v>26</v>
      </c>
      <c r="C651" s="40" t="s">
        <v>33</v>
      </c>
      <c r="D651" s="55"/>
      <c r="E651" s="79" t="s">
        <v>34</v>
      </c>
      <c r="F651" s="43">
        <f>SUM(F652:F658)</f>
        <v>589.916</v>
      </c>
      <c r="G651" s="67">
        <f>SUM(G652:G658)</f>
        <v>0</v>
      </c>
      <c r="H651" s="68">
        <f>SUM(H652:H658)</f>
        <v>0</v>
      </c>
      <c r="I651" s="69"/>
      <c r="J651" s="59"/>
      <c r="K651" s="70"/>
      <c r="L651" s="71">
        <v>1.0037589134265557</v>
      </c>
      <c r="M651" s="72">
        <f aca="true" t="shared" si="197" ref="M651:U651">SUM(M652:M658)</f>
        <v>467690.5</v>
      </c>
      <c r="N651" s="72">
        <f t="shared" si="197"/>
        <v>412970.8</v>
      </c>
      <c r="O651" s="72">
        <f t="shared" si="197"/>
        <v>0</v>
      </c>
      <c r="P651" s="72">
        <f t="shared" si="197"/>
        <v>0</v>
      </c>
      <c r="Q651" s="72">
        <f t="shared" si="197"/>
        <v>0</v>
      </c>
      <c r="R651" s="72">
        <f t="shared" si="197"/>
        <v>0</v>
      </c>
      <c r="S651" s="72">
        <f t="shared" si="197"/>
        <v>0</v>
      </c>
      <c r="T651" s="72">
        <f t="shared" si="197"/>
        <v>-9903.300000000001</v>
      </c>
      <c r="U651" s="72">
        <f t="shared" si="197"/>
        <v>403067.5</v>
      </c>
      <c r="V651" s="73"/>
    </row>
    <row r="652" spans="1:22" ht="12.75" hidden="1">
      <c r="A652" s="52">
        <v>18</v>
      </c>
      <c r="B652" s="53" t="s">
        <v>35</v>
      </c>
      <c r="C652" s="54" t="s">
        <v>36</v>
      </c>
      <c r="D652" s="55" t="s">
        <v>1189</v>
      </c>
      <c r="E652" s="74" t="s">
        <v>1190</v>
      </c>
      <c r="F652" s="43">
        <v>270.561</v>
      </c>
      <c r="G652" s="162"/>
      <c r="H652" s="162"/>
      <c r="I652" s="58"/>
      <c r="J652" s="59">
        <f aca="true" t="shared" si="198" ref="J652:J658">+($F$7-$O$952-$Q$952-$P$952-$R$952-$S$952)/($F$952-$G$952*1-$H$952*0.5)*0.646*1.0268514</f>
        <v>742.8502282779862</v>
      </c>
      <c r="K652" s="60">
        <v>1.065228053001168</v>
      </c>
      <c r="L652" s="75">
        <v>0.9870167396102922</v>
      </c>
      <c r="M652" s="63">
        <f aca="true" t="shared" si="199" ref="M652:M658">ROUND(J652*(F652-G652-H652*I652)*K652*(0.5+0.5*L652),1)</f>
        <v>212706.4</v>
      </c>
      <c r="N652" s="63">
        <f aca="true" t="shared" si="200" ref="N652:N658">ROUND(M652*0.883,1)</f>
        <v>187819.8</v>
      </c>
      <c r="O652" s="62"/>
      <c r="P652" s="76"/>
      <c r="Q652" s="77"/>
      <c r="R652" s="76"/>
      <c r="S652" s="77"/>
      <c r="T652" s="64"/>
      <c r="U652" s="45">
        <f aca="true" t="shared" si="201" ref="U652:U658">+N652+O652+T652+R652+S652+Q652</f>
        <v>187819.8</v>
      </c>
      <c r="V652" s="65"/>
    </row>
    <row r="653" spans="1:22" ht="12.75" hidden="1">
      <c r="A653" s="52">
        <v>18</v>
      </c>
      <c r="B653" s="53" t="s">
        <v>32</v>
      </c>
      <c r="C653" s="54" t="s">
        <v>36</v>
      </c>
      <c r="D653" s="55" t="s">
        <v>1191</v>
      </c>
      <c r="E653" s="78" t="s">
        <v>1192</v>
      </c>
      <c r="F653" s="43">
        <v>34.004</v>
      </c>
      <c r="G653" s="57"/>
      <c r="H653" s="57"/>
      <c r="I653" s="58"/>
      <c r="J653" s="59">
        <f t="shared" si="198"/>
        <v>742.8502282779862</v>
      </c>
      <c r="K653" s="60">
        <v>1.065228053001168</v>
      </c>
      <c r="L653" s="75">
        <v>0.9840770031906533</v>
      </c>
      <c r="M653" s="63">
        <f t="shared" si="199"/>
        <v>26693.3</v>
      </c>
      <c r="N653" s="63">
        <f t="shared" si="200"/>
        <v>23570.2</v>
      </c>
      <c r="O653" s="62"/>
      <c r="P653" s="76"/>
      <c r="Q653" s="77"/>
      <c r="R653" s="76"/>
      <c r="S653" s="77"/>
      <c r="T653" s="64"/>
      <c r="U653" s="45">
        <f t="shared" si="201"/>
        <v>23570.2</v>
      </c>
      <c r="V653" s="65"/>
    </row>
    <row r="654" spans="1:22" ht="12.75" hidden="1">
      <c r="A654" s="52">
        <v>18</v>
      </c>
      <c r="B654" s="53" t="s">
        <v>118</v>
      </c>
      <c r="C654" s="54" t="s">
        <v>36</v>
      </c>
      <c r="D654" s="55" t="s">
        <v>1193</v>
      </c>
      <c r="E654" s="78" t="s">
        <v>1194</v>
      </c>
      <c r="F654" s="43">
        <v>92.026</v>
      </c>
      <c r="G654" s="57"/>
      <c r="H654" s="57"/>
      <c r="I654" s="58"/>
      <c r="J654" s="59">
        <f t="shared" si="198"/>
        <v>742.8502282779862</v>
      </c>
      <c r="K654" s="60">
        <v>1.065228053001168</v>
      </c>
      <c r="L654" s="75">
        <v>1.0104952393913595</v>
      </c>
      <c r="M654" s="63">
        <f t="shared" si="199"/>
        <v>73202.8</v>
      </c>
      <c r="N654" s="63">
        <f t="shared" si="200"/>
        <v>64638.1</v>
      </c>
      <c r="O654" s="62"/>
      <c r="P654" s="76"/>
      <c r="Q654" s="77"/>
      <c r="R654" s="76"/>
      <c r="S654" s="77"/>
      <c r="T654" s="64"/>
      <c r="U654" s="45">
        <f t="shared" si="201"/>
        <v>64638.1</v>
      </c>
      <c r="V654" s="65"/>
    </row>
    <row r="655" spans="1:22" ht="12.75" hidden="1">
      <c r="A655" s="52">
        <v>18</v>
      </c>
      <c r="B655" s="53" t="s">
        <v>127</v>
      </c>
      <c r="C655" s="54" t="s">
        <v>36</v>
      </c>
      <c r="D655" s="55" t="s">
        <v>1195</v>
      </c>
      <c r="E655" s="78" t="s">
        <v>1196</v>
      </c>
      <c r="F655" s="43">
        <v>26.251</v>
      </c>
      <c r="G655" s="57"/>
      <c r="H655" s="57"/>
      <c r="I655" s="58"/>
      <c r="J655" s="59">
        <f t="shared" si="198"/>
        <v>742.8502282779862</v>
      </c>
      <c r="K655" s="60">
        <v>1.065228053001168</v>
      </c>
      <c r="L655" s="75">
        <v>1.0192962581283262</v>
      </c>
      <c r="M655" s="63">
        <f t="shared" si="199"/>
        <v>20973</v>
      </c>
      <c r="N655" s="63">
        <f t="shared" si="200"/>
        <v>18519.2</v>
      </c>
      <c r="O655" s="62"/>
      <c r="P655" s="76"/>
      <c r="Q655" s="77"/>
      <c r="R655" s="76"/>
      <c r="S655" s="77"/>
      <c r="T655" s="64">
        <f>-ROUND(N655,1)</f>
        <v>-18519.2</v>
      </c>
      <c r="U655" s="45">
        <f t="shared" si="201"/>
        <v>0</v>
      </c>
      <c r="V655" s="65"/>
    </row>
    <row r="656" spans="1:22" ht="12.75" hidden="1">
      <c r="A656" s="52">
        <v>18</v>
      </c>
      <c r="B656" s="53" t="s">
        <v>51</v>
      </c>
      <c r="C656" s="54" t="s">
        <v>36</v>
      </c>
      <c r="D656" s="55" t="s">
        <v>1197</v>
      </c>
      <c r="E656" s="78" t="s">
        <v>1198</v>
      </c>
      <c r="F656" s="43">
        <v>48.836</v>
      </c>
      <c r="G656" s="57"/>
      <c r="H656" s="57"/>
      <c r="I656" s="58"/>
      <c r="J656" s="59">
        <f t="shared" si="198"/>
        <v>742.8502282779862</v>
      </c>
      <c r="K656" s="60">
        <v>1.065228053001168</v>
      </c>
      <c r="L656" s="75">
        <v>1.007431500505021</v>
      </c>
      <c r="M656" s="63">
        <f t="shared" si="199"/>
        <v>38787.8</v>
      </c>
      <c r="N656" s="63">
        <f t="shared" si="200"/>
        <v>34249.6</v>
      </c>
      <c r="O656" s="62"/>
      <c r="P656" s="76"/>
      <c r="Q656" s="77"/>
      <c r="R656" s="76"/>
      <c r="S656" s="77"/>
      <c r="T656" s="64">
        <f>ROUND(N670*0.5,1)</f>
        <v>8615.9</v>
      </c>
      <c r="U656" s="45">
        <f t="shared" si="201"/>
        <v>42865.5</v>
      </c>
      <c r="V656" s="65"/>
    </row>
    <row r="657" spans="1:22" ht="12.75" hidden="1">
      <c r="A657" s="52">
        <v>18</v>
      </c>
      <c r="B657" s="53" t="s">
        <v>55</v>
      </c>
      <c r="C657" s="54" t="s">
        <v>36</v>
      </c>
      <c r="D657" s="55" t="s">
        <v>1199</v>
      </c>
      <c r="E657" s="78" t="s">
        <v>1200</v>
      </c>
      <c r="F657" s="43">
        <v>41.104</v>
      </c>
      <c r="G657" s="57"/>
      <c r="H657" s="57"/>
      <c r="I657" s="58"/>
      <c r="J657" s="59">
        <f t="shared" si="198"/>
        <v>742.8502282779862</v>
      </c>
      <c r="K657" s="60">
        <v>1.065228053001168</v>
      </c>
      <c r="L657" s="75">
        <v>1.0505881908864811</v>
      </c>
      <c r="M657" s="63">
        <f t="shared" si="199"/>
        <v>33348.5</v>
      </c>
      <c r="N657" s="63">
        <f t="shared" si="200"/>
        <v>29446.7</v>
      </c>
      <c r="O657" s="62"/>
      <c r="P657" s="76"/>
      <c r="Q657" s="77"/>
      <c r="R657" s="76"/>
      <c r="S657" s="77"/>
      <c r="T657" s="64"/>
      <c r="U657" s="45">
        <f t="shared" si="201"/>
        <v>29446.7</v>
      </c>
      <c r="V657" s="65"/>
    </row>
    <row r="658" spans="1:22" ht="12.75" hidden="1">
      <c r="A658" s="52">
        <v>18</v>
      </c>
      <c r="B658" s="53" t="s">
        <v>58</v>
      </c>
      <c r="C658" s="54" t="s">
        <v>36</v>
      </c>
      <c r="D658" s="55" t="s">
        <v>1201</v>
      </c>
      <c r="E658" s="78" t="s">
        <v>1202</v>
      </c>
      <c r="F658" s="43">
        <v>77.134</v>
      </c>
      <c r="G658" s="57"/>
      <c r="H658" s="57"/>
      <c r="I658" s="58"/>
      <c r="J658" s="59">
        <f t="shared" si="198"/>
        <v>742.8502282779862</v>
      </c>
      <c r="K658" s="60">
        <v>1.065228053001168</v>
      </c>
      <c r="L658" s="75">
        <v>1.0308740248876394</v>
      </c>
      <c r="M658" s="63">
        <f t="shared" si="199"/>
        <v>61978.7</v>
      </c>
      <c r="N658" s="63">
        <f t="shared" si="200"/>
        <v>54727.2</v>
      </c>
      <c r="O658" s="62"/>
      <c r="P658" s="76"/>
      <c r="Q658" s="77"/>
      <c r="R658" s="76"/>
      <c r="S658" s="77"/>
      <c r="T658" s="64"/>
      <c r="U658" s="45">
        <f t="shared" si="201"/>
        <v>54727.2</v>
      </c>
      <c r="V658" s="65"/>
    </row>
    <row r="659" spans="1:22" ht="13.5" hidden="1">
      <c r="A659" s="38">
        <v>18</v>
      </c>
      <c r="B659" s="39" t="s">
        <v>26</v>
      </c>
      <c r="C659" s="40" t="s">
        <v>49</v>
      </c>
      <c r="D659" s="55"/>
      <c r="E659" s="79" t="s">
        <v>1203</v>
      </c>
      <c r="F659" s="43">
        <f>SUM(F660:F677)</f>
        <v>517.8439999999999</v>
      </c>
      <c r="G659" s="67">
        <f>SUM(G660:G677)</f>
        <v>0</v>
      </c>
      <c r="H659" s="68">
        <f>SUM(H660:H677)</f>
        <v>0</v>
      </c>
      <c r="I659" s="69"/>
      <c r="J659" s="80"/>
      <c r="K659" s="70"/>
      <c r="L659" s="71">
        <v>1.0655529360458924</v>
      </c>
      <c r="M659" s="72">
        <f aca="true" t="shared" si="202" ref="M659:U659">SUM(M660:M677)</f>
        <v>370887.8</v>
      </c>
      <c r="N659" s="72">
        <f t="shared" si="202"/>
        <v>336395.1</v>
      </c>
      <c r="O659" s="72">
        <f t="shared" si="202"/>
        <v>0</v>
      </c>
      <c r="P659" s="72">
        <f t="shared" si="202"/>
        <v>0</v>
      </c>
      <c r="Q659" s="72">
        <f t="shared" si="202"/>
        <v>0</v>
      </c>
      <c r="R659" s="72">
        <f t="shared" si="202"/>
        <v>0</v>
      </c>
      <c r="S659" s="72">
        <f t="shared" si="202"/>
        <v>0</v>
      </c>
      <c r="T659" s="72">
        <f t="shared" si="202"/>
        <v>9903.300000000001</v>
      </c>
      <c r="U659" s="72">
        <f t="shared" si="202"/>
        <v>346298.39999999997</v>
      </c>
      <c r="V659" s="73"/>
    </row>
    <row r="660" spans="1:22" ht="12.75" hidden="1">
      <c r="A660" s="52">
        <v>18</v>
      </c>
      <c r="B660" s="190" t="s">
        <v>61</v>
      </c>
      <c r="C660" s="54" t="s">
        <v>52</v>
      </c>
      <c r="D660" s="55" t="s">
        <v>1204</v>
      </c>
      <c r="E660" s="196" t="s">
        <v>1205</v>
      </c>
      <c r="F660" s="43">
        <v>50.678</v>
      </c>
      <c r="G660" s="128"/>
      <c r="H660" s="57"/>
      <c r="I660" s="58"/>
      <c r="J660" s="59">
        <f aca="true" t="shared" si="203" ref="J660:J677">+($F$7-$O$952-$Q$952-$P$952-$R$952-$S$952)/($F$952-$G$952*1-$H$952*0.5)*0.646*1.0268514</f>
        <v>742.8502282779862</v>
      </c>
      <c r="K660" s="60">
        <v>0.9336178972540682</v>
      </c>
      <c r="L660" s="75">
        <v>1.0694972348748135</v>
      </c>
      <c r="M660" s="63">
        <f aca="true" t="shared" si="204" ref="M660:M677">ROUND(J660*(F660-G660-H660*I660)*K660*(0.5+0.5*L660),1)</f>
        <v>36368.4</v>
      </c>
      <c r="N660" s="63">
        <f aca="true" t="shared" si="205" ref="N660:N677">ROUND(M660*0.907,1)</f>
        <v>32986.1</v>
      </c>
      <c r="O660" s="62"/>
      <c r="P660" s="76"/>
      <c r="Q660" s="77"/>
      <c r="R660" s="76"/>
      <c r="S660" s="77"/>
      <c r="T660" s="64"/>
      <c r="U660" s="45">
        <f aca="true" t="shared" si="206" ref="U660:U677">+N660+O660+T660+R660+S660+Q660</f>
        <v>32986.1</v>
      </c>
      <c r="V660" s="65"/>
    </row>
    <row r="661" spans="1:22" ht="12.75" hidden="1">
      <c r="A661" s="52">
        <v>18</v>
      </c>
      <c r="B661" s="190" t="s">
        <v>64</v>
      </c>
      <c r="C661" s="54" t="s">
        <v>52</v>
      </c>
      <c r="D661" s="55" t="s">
        <v>1206</v>
      </c>
      <c r="E661" s="196" t="s">
        <v>1207</v>
      </c>
      <c r="F661" s="43">
        <v>25.042</v>
      </c>
      <c r="G661" s="57"/>
      <c r="H661" s="57"/>
      <c r="I661" s="58"/>
      <c r="J661" s="59">
        <f t="shared" si="203"/>
        <v>742.8502282779862</v>
      </c>
      <c r="K661" s="60">
        <v>0.9336178972540682</v>
      </c>
      <c r="L661" s="75">
        <v>1.1389642095013948</v>
      </c>
      <c r="M661" s="63">
        <f t="shared" si="204"/>
        <v>18574.3</v>
      </c>
      <c r="N661" s="63">
        <f t="shared" si="205"/>
        <v>16846.9</v>
      </c>
      <c r="O661" s="62"/>
      <c r="P661" s="76"/>
      <c r="Q661" s="77"/>
      <c r="R661" s="76"/>
      <c r="S661" s="77"/>
      <c r="T661" s="64"/>
      <c r="U661" s="45">
        <f t="shared" si="206"/>
        <v>16846.9</v>
      </c>
      <c r="V661" s="65"/>
    </row>
    <row r="662" spans="1:22" ht="12.75" hidden="1">
      <c r="A662" s="52">
        <v>18</v>
      </c>
      <c r="B662" s="190">
        <v>10</v>
      </c>
      <c r="C662" s="54" t="s">
        <v>52</v>
      </c>
      <c r="D662" s="55" t="s">
        <v>1208</v>
      </c>
      <c r="E662" s="196" t="s">
        <v>1209</v>
      </c>
      <c r="F662" s="43">
        <v>19.155</v>
      </c>
      <c r="G662" s="57"/>
      <c r="H662" s="57"/>
      <c r="I662" s="58"/>
      <c r="J662" s="59">
        <f t="shared" si="203"/>
        <v>742.8502282779862</v>
      </c>
      <c r="K662" s="60">
        <v>0.9336178972540682</v>
      </c>
      <c r="L662" s="75">
        <v>1.103822660508547</v>
      </c>
      <c r="M662" s="63">
        <f t="shared" si="204"/>
        <v>13974.4</v>
      </c>
      <c r="N662" s="63">
        <f t="shared" si="205"/>
        <v>12674.8</v>
      </c>
      <c r="O662" s="62"/>
      <c r="P662" s="76"/>
      <c r="Q662" s="77"/>
      <c r="R662" s="76"/>
      <c r="S662" s="77"/>
      <c r="T662" s="64"/>
      <c r="U662" s="45">
        <f t="shared" si="206"/>
        <v>12674.8</v>
      </c>
      <c r="V662" s="65"/>
    </row>
    <row r="663" spans="1:22" ht="12.75" hidden="1">
      <c r="A663" s="52">
        <v>18</v>
      </c>
      <c r="B663" s="190">
        <v>11</v>
      </c>
      <c r="C663" s="54" t="s">
        <v>52</v>
      </c>
      <c r="D663" s="55" t="s">
        <v>1210</v>
      </c>
      <c r="E663" s="196" t="s">
        <v>1211</v>
      </c>
      <c r="F663" s="43">
        <v>17.642</v>
      </c>
      <c r="G663" s="57"/>
      <c r="H663" s="57"/>
      <c r="I663" s="58"/>
      <c r="J663" s="59">
        <f t="shared" si="203"/>
        <v>742.8502282779862</v>
      </c>
      <c r="K663" s="60">
        <v>0.9336178972540682</v>
      </c>
      <c r="L663" s="75">
        <v>1.079440942392724</v>
      </c>
      <c r="M663" s="63">
        <f t="shared" si="204"/>
        <v>12721.4</v>
      </c>
      <c r="N663" s="63">
        <f t="shared" si="205"/>
        <v>11538.3</v>
      </c>
      <c r="O663" s="62"/>
      <c r="P663" s="76"/>
      <c r="Q663" s="77"/>
      <c r="R663" s="76"/>
      <c r="S663" s="77"/>
      <c r="T663" s="64"/>
      <c r="U663" s="45">
        <f t="shared" si="206"/>
        <v>11538.3</v>
      </c>
      <c r="V663" s="65"/>
    </row>
    <row r="664" spans="1:22" ht="12.75" hidden="1">
      <c r="A664" s="52">
        <v>18</v>
      </c>
      <c r="B664" s="190">
        <v>12</v>
      </c>
      <c r="C664" s="54" t="s">
        <v>52</v>
      </c>
      <c r="D664" s="55" t="s">
        <v>1212</v>
      </c>
      <c r="E664" s="196" t="s">
        <v>1213</v>
      </c>
      <c r="F664" s="43">
        <v>29.02</v>
      </c>
      <c r="G664" s="57"/>
      <c r="H664" s="57"/>
      <c r="I664" s="58"/>
      <c r="J664" s="59">
        <f t="shared" si="203"/>
        <v>742.8502282779862</v>
      </c>
      <c r="K664" s="60">
        <v>0.9336178972540682</v>
      </c>
      <c r="L664" s="75">
        <v>1.1136225684094798</v>
      </c>
      <c r="M664" s="63">
        <f t="shared" si="204"/>
        <v>21269.9</v>
      </c>
      <c r="N664" s="63">
        <f t="shared" si="205"/>
        <v>19291.8</v>
      </c>
      <c r="O664" s="62"/>
      <c r="P664" s="76"/>
      <c r="Q664" s="77"/>
      <c r="R664" s="76"/>
      <c r="S664" s="77"/>
      <c r="T664" s="64"/>
      <c r="U664" s="45">
        <f t="shared" si="206"/>
        <v>19291.8</v>
      </c>
      <c r="V664" s="65"/>
    </row>
    <row r="665" spans="1:22" ht="12.75" hidden="1">
      <c r="A665" s="52">
        <v>18</v>
      </c>
      <c r="B665" s="190">
        <v>13</v>
      </c>
      <c r="C665" s="54" t="s">
        <v>52</v>
      </c>
      <c r="D665" s="55" t="s">
        <v>1214</v>
      </c>
      <c r="E665" s="196" t="s">
        <v>1215</v>
      </c>
      <c r="F665" s="43">
        <v>28.598</v>
      </c>
      <c r="G665" s="57"/>
      <c r="H665" s="57"/>
      <c r="I665" s="58"/>
      <c r="J665" s="59">
        <f t="shared" si="203"/>
        <v>742.8502282779862</v>
      </c>
      <c r="K665" s="60">
        <v>0.9336178972540682</v>
      </c>
      <c r="L665" s="75">
        <v>1.0307691218654735</v>
      </c>
      <c r="M665" s="63">
        <f t="shared" si="204"/>
        <v>20138.9</v>
      </c>
      <c r="N665" s="63">
        <f t="shared" si="205"/>
        <v>18266</v>
      </c>
      <c r="O665" s="62"/>
      <c r="P665" s="76"/>
      <c r="Q665" s="77"/>
      <c r="R665" s="76"/>
      <c r="S665" s="77"/>
      <c r="T665" s="64"/>
      <c r="U665" s="45">
        <f t="shared" si="206"/>
        <v>18266</v>
      </c>
      <c r="V665" s="65"/>
    </row>
    <row r="666" spans="1:22" ht="12.75" hidden="1">
      <c r="A666" s="52">
        <v>18</v>
      </c>
      <c r="B666" s="190">
        <v>14</v>
      </c>
      <c r="C666" s="54" t="s">
        <v>52</v>
      </c>
      <c r="D666" s="55" t="s">
        <v>1216</v>
      </c>
      <c r="E666" s="196" t="s">
        <v>1217</v>
      </c>
      <c r="F666" s="43">
        <v>38.42</v>
      </c>
      <c r="G666" s="57"/>
      <c r="H666" s="57"/>
      <c r="I666" s="58"/>
      <c r="J666" s="59">
        <f t="shared" si="203"/>
        <v>742.8502282779862</v>
      </c>
      <c r="K666" s="60">
        <v>0.9336178972540682</v>
      </c>
      <c r="L666" s="75">
        <v>1.0607817013851262</v>
      </c>
      <c r="M666" s="63">
        <f t="shared" si="204"/>
        <v>27455.5</v>
      </c>
      <c r="N666" s="63">
        <f t="shared" si="205"/>
        <v>24902.1</v>
      </c>
      <c r="O666" s="62"/>
      <c r="P666" s="76"/>
      <c r="Q666" s="77"/>
      <c r="R666" s="76"/>
      <c r="S666" s="77"/>
      <c r="T666" s="64"/>
      <c r="U666" s="45">
        <f t="shared" si="206"/>
        <v>24902.1</v>
      </c>
      <c r="V666" s="65"/>
    </row>
    <row r="667" spans="1:22" ht="12.75" hidden="1">
      <c r="A667" s="52">
        <v>18</v>
      </c>
      <c r="B667" s="190">
        <v>15</v>
      </c>
      <c r="C667" s="54" t="s">
        <v>52</v>
      </c>
      <c r="D667" s="55" t="s">
        <v>1218</v>
      </c>
      <c r="E667" s="196" t="s">
        <v>1219</v>
      </c>
      <c r="F667" s="43">
        <v>19.802</v>
      </c>
      <c r="G667" s="57"/>
      <c r="H667" s="57"/>
      <c r="I667" s="58"/>
      <c r="J667" s="59">
        <f t="shared" si="203"/>
        <v>742.8502282779862</v>
      </c>
      <c r="K667" s="60">
        <v>0.9336178972540682</v>
      </c>
      <c r="L667" s="75">
        <v>1.1043390037959526</v>
      </c>
      <c r="M667" s="63">
        <f t="shared" si="204"/>
        <v>14449.9</v>
      </c>
      <c r="N667" s="63">
        <f t="shared" si="205"/>
        <v>13106.1</v>
      </c>
      <c r="O667" s="62"/>
      <c r="P667" s="76"/>
      <c r="Q667" s="77"/>
      <c r="R667" s="76"/>
      <c r="S667" s="77"/>
      <c r="T667" s="64">
        <f>ROUND(N655,1)</f>
        <v>18519.2</v>
      </c>
      <c r="U667" s="45">
        <f t="shared" si="206"/>
        <v>31625.300000000003</v>
      </c>
      <c r="V667" s="65"/>
    </row>
    <row r="668" spans="1:22" ht="12.75" hidden="1">
      <c r="A668" s="52">
        <v>18</v>
      </c>
      <c r="B668" s="190">
        <v>16</v>
      </c>
      <c r="C668" s="54" t="s">
        <v>52</v>
      </c>
      <c r="D668" s="55" t="s">
        <v>1220</v>
      </c>
      <c r="E668" s="196" t="s">
        <v>1221</v>
      </c>
      <c r="F668" s="43">
        <v>18.825</v>
      </c>
      <c r="G668" s="57"/>
      <c r="H668" s="57"/>
      <c r="I668" s="58"/>
      <c r="J668" s="59">
        <f t="shared" si="203"/>
        <v>742.8502282779862</v>
      </c>
      <c r="K668" s="60">
        <v>0.9336178972540682</v>
      </c>
      <c r="L668" s="75">
        <v>1.046059227072448</v>
      </c>
      <c r="M668" s="63">
        <f t="shared" si="204"/>
        <v>13356.5</v>
      </c>
      <c r="N668" s="63">
        <f t="shared" si="205"/>
        <v>12114.3</v>
      </c>
      <c r="O668" s="62"/>
      <c r="P668" s="76"/>
      <c r="Q668" s="77"/>
      <c r="R668" s="76"/>
      <c r="S668" s="77"/>
      <c r="T668" s="64"/>
      <c r="U668" s="45">
        <f t="shared" si="206"/>
        <v>12114.3</v>
      </c>
      <c r="V668" s="65"/>
    </row>
    <row r="669" spans="1:22" ht="12.75" hidden="1">
      <c r="A669" s="52">
        <v>18</v>
      </c>
      <c r="B669" s="190">
        <v>17</v>
      </c>
      <c r="C669" s="54" t="s">
        <v>52</v>
      </c>
      <c r="D669" s="55" t="s">
        <v>1222</v>
      </c>
      <c r="E669" s="196" t="s">
        <v>1223</v>
      </c>
      <c r="F669" s="43">
        <v>24.56</v>
      </c>
      <c r="G669" s="57"/>
      <c r="H669" s="57"/>
      <c r="I669" s="58"/>
      <c r="J669" s="59">
        <f t="shared" si="203"/>
        <v>742.8502282779862</v>
      </c>
      <c r="K669" s="60">
        <v>0.9336178972540682</v>
      </c>
      <c r="L669" s="75">
        <v>1.0817838367010195</v>
      </c>
      <c r="M669" s="63">
        <f t="shared" si="204"/>
        <v>17729.8</v>
      </c>
      <c r="N669" s="63">
        <f t="shared" si="205"/>
        <v>16080.9</v>
      </c>
      <c r="O669" s="62"/>
      <c r="P669" s="76"/>
      <c r="Q669" s="77"/>
      <c r="R669" s="76"/>
      <c r="S669" s="77"/>
      <c r="T669" s="64"/>
      <c r="U669" s="45">
        <f t="shared" si="206"/>
        <v>16080.9</v>
      </c>
      <c r="V669" s="65"/>
    </row>
    <row r="670" spans="1:22" ht="12.75" hidden="1">
      <c r="A670" s="52">
        <v>18</v>
      </c>
      <c r="B670" s="190">
        <v>18</v>
      </c>
      <c r="C670" s="54" t="s">
        <v>52</v>
      </c>
      <c r="D670" s="55" t="s">
        <v>1224</v>
      </c>
      <c r="E670" s="196" t="s">
        <v>1225</v>
      </c>
      <c r="F670" s="43">
        <v>26.519</v>
      </c>
      <c r="G670" s="57"/>
      <c r="H670" s="57"/>
      <c r="I670" s="58"/>
      <c r="J670" s="59">
        <f t="shared" si="203"/>
        <v>742.8502282779862</v>
      </c>
      <c r="K670" s="60">
        <v>0.9336178972540682</v>
      </c>
      <c r="L670" s="75">
        <v>1.065979196887043</v>
      </c>
      <c r="M670" s="63">
        <f t="shared" si="204"/>
        <v>18998.7</v>
      </c>
      <c r="N670" s="63">
        <f t="shared" si="205"/>
        <v>17231.8</v>
      </c>
      <c r="O670" s="62"/>
      <c r="P670" s="76"/>
      <c r="Q670" s="77"/>
      <c r="R670" s="76"/>
      <c r="S670" s="77"/>
      <c r="T670" s="64">
        <f>-ROUND(N670*0.5,1)</f>
        <v>-8615.9</v>
      </c>
      <c r="U670" s="45">
        <f t="shared" si="206"/>
        <v>8615.9</v>
      </c>
      <c r="V670" s="65"/>
    </row>
    <row r="671" spans="1:22" ht="12.75" hidden="1">
      <c r="A671" s="52">
        <v>18</v>
      </c>
      <c r="B671" s="190">
        <v>19</v>
      </c>
      <c r="C671" s="54" t="s">
        <v>52</v>
      </c>
      <c r="D671" s="55" t="s">
        <v>1226</v>
      </c>
      <c r="E671" s="196" t="s">
        <v>1227</v>
      </c>
      <c r="F671" s="43">
        <v>27.827</v>
      </c>
      <c r="G671" s="57"/>
      <c r="H671" s="57"/>
      <c r="I671" s="58"/>
      <c r="J671" s="59">
        <f t="shared" si="203"/>
        <v>742.8502282779862</v>
      </c>
      <c r="K671" s="60">
        <v>0.9336178972540682</v>
      </c>
      <c r="L671" s="75">
        <v>1.0333178363417872</v>
      </c>
      <c r="M671" s="63">
        <f t="shared" si="204"/>
        <v>19620.6</v>
      </c>
      <c r="N671" s="63">
        <f t="shared" si="205"/>
        <v>17795.9</v>
      </c>
      <c r="O671" s="62"/>
      <c r="P671" s="76"/>
      <c r="Q671" s="77"/>
      <c r="R671" s="76"/>
      <c r="S671" s="77"/>
      <c r="T671" s="64"/>
      <c r="U671" s="45">
        <f t="shared" si="206"/>
        <v>17795.9</v>
      </c>
      <c r="V671" s="65"/>
    </row>
    <row r="672" spans="1:22" ht="12.75" hidden="1">
      <c r="A672" s="52">
        <v>18</v>
      </c>
      <c r="B672" s="190">
        <v>20</v>
      </c>
      <c r="C672" s="54" t="s">
        <v>52</v>
      </c>
      <c r="D672" s="55" t="s">
        <v>1228</v>
      </c>
      <c r="E672" s="196" t="s">
        <v>1229</v>
      </c>
      <c r="F672" s="43">
        <v>33.174</v>
      </c>
      <c r="G672" s="57"/>
      <c r="H672" s="57"/>
      <c r="I672" s="58"/>
      <c r="J672" s="59">
        <f t="shared" si="203"/>
        <v>742.8502282779862</v>
      </c>
      <c r="K672" s="60">
        <v>0.9336178972540682</v>
      </c>
      <c r="L672" s="75">
        <v>1.0799699429151615</v>
      </c>
      <c r="M672" s="63">
        <f t="shared" si="204"/>
        <v>23927.4</v>
      </c>
      <c r="N672" s="63">
        <f t="shared" si="205"/>
        <v>21702.2</v>
      </c>
      <c r="O672" s="62"/>
      <c r="P672" s="76"/>
      <c r="Q672" s="77"/>
      <c r="R672" s="76"/>
      <c r="S672" s="77"/>
      <c r="T672" s="64"/>
      <c r="U672" s="45">
        <f t="shared" si="206"/>
        <v>21702.2</v>
      </c>
      <c r="V672" s="65"/>
    </row>
    <row r="673" spans="1:22" ht="12.75" hidden="1">
      <c r="A673" s="52">
        <v>18</v>
      </c>
      <c r="B673" s="190">
        <v>21</v>
      </c>
      <c r="C673" s="54" t="s">
        <v>52</v>
      </c>
      <c r="D673" s="55" t="s">
        <v>1230</v>
      </c>
      <c r="E673" s="196" t="s">
        <v>1231</v>
      </c>
      <c r="F673" s="43">
        <v>16.481</v>
      </c>
      <c r="G673" s="57"/>
      <c r="H673" s="57"/>
      <c r="I673" s="58"/>
      <c r="J673" s="59">
        <f t="shared" si="203"/>
        <v>742.8502282779862</v>
      </c>
      <c r="K673" s="60">
        <v>0.9336178972540682</v>
      </c>
      <c r="L673" s="75">
        <v>1.0256088993737393</v>
      </c>
      <c r="M673" s="63">
        <f t="shared" si="204"/>
        <v>11576.6</v>
      </c>
      <c r="N673" s="63">
        <f t="shared" si="205"/>
        <v>10500</v>
      </c>
      <c r="O673" s="62"/>
      <c r="P673" s="76"/>
      <c r="Q673" s="77"/>
      <c r="R673" s="76"/>
      <c r="S673" s="77"/>
      <c r="T673" s="64"/>
      <c r="U673" s="45">
        <f t="shared" si="206"/>
        <v>10500</v>
      </c>
      <c r="V673" s="65"/>
    </row>
    <row r="674" spans="1:22" ht="12.75" hidden="1">
      <c r="A674" s="52">
        <v>18</v>
      </c>
      <c r="B674" s="190">
        <v>22</v>
      </c>
      <c r="C674" s="54" t="s">
        <v>52</v>
      </c>
      <c r="D674" s="55" t="s">
        <v>1232</v>
      </c>
      <c r="E674" s="196" t="s">
        <v>1233</v>
      </c>
      <c r="F674" s="43">
        <v>62.461</v>
      </c>
      <c r="G674" s="57"/>
      <c r="H674" s="57"/>
      <c r="I674" s="58"/>
      <c r="J674" s="59">
        <f t="shared" si="203"/>
        <v>742.8502282779862</v>
      </c>
      <c r="K674" s="60">
        <v>0.9336178972540682</v>
      </c>
      <c r="L674" s="75">
        <v>1.023792703171159</v>
      </c>
      <c r="M674" s="63">
        <f t="shared" si="204"/>
        <v>43834.4</v>
      </c>
      <c r="N674" s="63">
        <f t="shared" si="205"/>
        <v>39757.8</v>
      </c>
      <c r="O674" s="62"/>
      <c r="P674" s="76"/>
      <c r="Q674" s="77"/>
      <c r="R674" s="76"/>
      <c r="S674" s="77"/>
      <c r="T674" s="64"/>
      <c r="U674" s="45">
        <f t="shared" si="206"/>
        <v>39757.8</v>
      </c>
      <c r="V674" s="65"/>
    </row>
    <row r="675" spans="1:22" s="82" customFormat="1" ht="13.5" hidden="1">
      <c r="A675" s="52">
        <v>18</v>
      </c>
      <c r="B675" s="190">
        <v>23</v>
      </c>
      <c r="C675" s="54" t="s">
        <v>52</v>
      </c>
      <c r="D675" s="55" t="s">
        <v>1234</v>
      </c>
      <c r="E675" s="196" t="s">
        <v>98</v>
      </c>
      <c r="F675" s="43">
        <v>35.111</v>
      </c>
      <c r="G675" s="57"/>
      <c r="H675" s="57"/>
      <c r="I675" s="58"/>
      <c r="J675" s="59">
        <f t="shared" si="203"/>
        <v>742.8502282779862</v>
      </c>
      <c r="K675" s="60">
        <v>0.9336178972540682</v>
      </c>
      <c r="L675" s="75">
        <v>1.0553076853141434</v>
      </c>
      <c r="M675" s="63">
        <f t="shared" si="204"/>
        <v>25024.2</v>
      </c>
      <c r="N675" s="63">
        <f t="shared" si="205"/>
        <v>22696.9</v>
      </c>
      <c r="O675" s="62"/>
      <c r="P675" s="76"/>
      <c r="Q675" s="77"/>
      <c r="R675" s="76"/>
      <c r="S675" s="77"/>
      <c r="T675" s="64"/>
      <c r="U675" s="45">
        <f t="shared" si="206"/>
        <v>22696.9</v>
      </c>
      <c r="V675" s="65"/>
    </row>
    <row r="676" spans="1:22" s="82" customFormat="1" ht="13.5" hidden="1">
      <c r="A676" s="52">
        <v>18</v>
      </c>
      <c r="B676" s="190">
        <v>24</v>
      </c>
      <c r="C676" s="54" t="s">
        <v>52</v>
      </c>
      <c r="D676" s="55" t="s">
        <v>1235</v>
      </c>
      <c r="E676" s="56" t="s">
        <v>1236</v>
      </c>
      <c r="F676" s="43">
        <v>20.67</v>
      </c>
      <c r="G676" s="57"/>
      <c r="H676" s="57"/>
      <c r="I676" s="58"/>
      <c r="J676" s="59">
        <f t="shared" si="203"/>
        <v>742.8502282779862</v>
      </c>
      <c r="K676" s="60">
        <v>0.9336178972540682</v>
      </c>
      <c r="L676" s="75">
        <v>1.0888898065243144</v>
      </c>
      <c r="M676" s="63">
        <f t="shared" si="204"/>
        <v>14972.6</v>
      </c>
      <c r="N676" s="63">
        <f t="shared" si="205"/>
        <v>13580.1</v>
      </c>
      <c r="O676" s="62"/>
      <c r="P676" s="76"/>
      <c r="Q676" s="77"/>
      <c r="R676" s="76"/>
      <c r="S676" s="77"/>
      <c r="T676" s="64"/>
      <c r="U676" s="45">
        <f t="shared" si="206"/>
        <v>13580.1</v>
      </c>
      <c r="V676" s="65"/>
    </row>
    <row r="677" spans="1:22" s="129" customFormat="1" ht="12.75" hidden="1">
      <c r="A677" s="52">
        <v>18</v>
      </c>
      <c r="B677" s="190">
        <v>25</v>
      </c>
      <c r="C677" s="54" t="s">
        <v>52</v>
      </c>
      <c r="D677" s="55" t="s">
        <v>1237</v>
      </c>
      <c r="E677" s="56" t="s">
        <v>110</v>
      </c>
      <c r="F677" s="43">
        <v>23.859</v>
      </c>
      <c r="G677" s="57"/>
      <c r="H677" s="57"/>
      <c r="I677" s="58"/>
      <c r="J677" s="59">
        <f t="shared" si="203"/>
        <v>742.8502282779862</v>
      </c>
      <c r="K677" s="60">
        <v>0.9336178972540682</v>
      </c>
      <c r="L677" s="75">
        <v>1.0419614665952521</v>
      </c>
      <c r="M677" s="63">
        <f t="shared" si="204"/>
        <v>16894.3</v>
      </c>
      <c r="N677" s="63">
        <f t="shared" si="205"/>
        <v>15323.1</v>
      </c>
      <c r="O677" s="62"/>
      <c r="P677" s="76"/>
      <c r="Q677" s="77"/>
      <c r="R677" s="76"/>
      <c r="S677" s="77"/>
      <c r="T677" s="64"/>
      <c r="U677" s="45">
        <f t="shared" si="206"/>
        <v>15323.1</v>
      </c>
      <c r="V677" s="65"/>
    </row>
    <row r="678" spans="1:22" s="147" customFormat="1" ht="25.5" hidden="1">
      <c r="A678" s="38">
        <v>18</v>
      </c>
      <c r="B678" s="39" t="s">
        <v>26</v>
      </c>
      <c r="C678" s="40" t="s">
        <v>111</v>
      </c>
      <c r="D678" s="55"/>
      <c r="E678" s="79" t="s">
        <v>112</v>
      </c>
      <c r="F678" s="43">
        <f>F679</f>
        <v>5.496</v>
      </c>
      <c r="G678" s="83">
        <f>SUM(G679)</f>
        <v>0</v>
      </c>
      <c r="H678" s="83">
        <f>SUM(H679)</f>
        <v>0</v>
      </c>
      <c r="I678" s="122"/>
      <c r="J678" s="123"/>
      <c r="K678" s="122"/>
      <c r="L678" s="84">
        <v>0</v>
      </c>
      <c r="M678" s="163">
        <f aca="true" t="shared" si="207" ref="M678:U678">M679</f>
        <v>3963.1</v>
      </c>
      <c r="N678" s="163">
        <f t="shared" si="207"/>
        <v>3594.5</v>
      </c>
      <c r="O678" s="163">
        <f t="shared" si="207"/>
        <v>0</v>
      </c>
      <c r="P678" s="163">
        <f t="shared" si="207"/>
        <v>0</v>
      </c>
      <c r="Q678" s="163">
        <f t="shared" si="207"/>
        <v>0</v>
      </c>
      <c r="R678" s="163">
        <f t="shared" si="207"/>
        <v>0</v>
      </c>
      <c r="S678" s="163">
        <f t="shared" si="207"/>
        <v>0</v>
      </c>
      <c r="T678" s="163">
        <f t="shared" si="207"/>
        <v>0</v>
      </c>
      <c r="U678" s="163">
        <f t="shared" si="207"/>
        <v>3594.5</v>
      </c>
      <c r="V678" s="153"/>
    </row>
    <row r="679" spans="1:22" s="155" customFormat="1" ht="25.5" hidden="1">
      <c r="A679" s="52">
        <v>18</v>
      </c>
      <c r="B679" s="53" t="s">
        <v>26</v>
      </c>
      <c r="C679" s="54" t="s">
        <v>113</v>
      </c>
      <c r="D679" s="55" t="s">
        <v>1238</v>
      </c>
      <c r="E679" s="56" t="s">
        <v>1239</v>
      </c>
      <c r="F679" s="43">
        <v>5.496</v>
      </c>
      <c r="G679" s="57"/>
      <c r="H679" s="57"/>
      <c r="I679" s="58"/>
      <c r="J679" s="59">
        <f>+($F$7-$O$952-$Q$952-$P$952-$R$952-$S$952)/($F$952-$G$952*1-$H$952*0.5)*0.646*1.0268514</f>
        <v>742.8502282779862</v>
      </c>
      <c r="K679" s="60">
        <v>0.9336178972540682</v>
      </c>
      <c r="L679" s="75">
        <v>1.079440942392724</v>
      </c>
      <c r="M679" s="63">
        <f>ROUND(J679*(F679-G679-H679*I679)*K679*(0.5+0.5*L679),1)</f>
        <v>3963.1</v>
      </c>
      <c r="N679" s="63">
        <f>ROUND(M679*0.907,1)</f>
        <v>3594.5</v>
      </c>
      <c r="O679" s="62"/>
      <c r="P679" s="76"/>
      <c r="Q679" s="77"/>
      <c r="R679" s="76"/>
      <c r="S679" s="77"/>
      <c r="T679" s="64"/>
      <c r="U679" s="45">
        <f>+N679+O679+T679+R679+S679+Q679</f>
        <v>3594.5</v>
      </c>
      <c r="V679" s="65"/>
    </row>
    <row r="680" spans="1:22" ht="25.5" hidden="1">
      <c r="A680" s="170">
        <v>19</v>
      </c>
      <c r="B680" s="167" t="s">
        <v>26</v>
      </c>
      <c r="C680" s="40" t="s">
        <v>27</v>
      </c>
      <c r="D680" s="55"/>
      <c r="E680" s="168" t="s">
        <v>1240</v>
      </c>
      <c r="F680" s="43">
        <f>F681+F682+F687+F705</f>
        <v>1065.7090000000003</v>
      </c>
      <c r="G680" s="44">
        <f>+G681+G682+G687+G705</f>
        <v>0</v>
      </c>
      <c r="H680" s="44">
        <f>+H681+H682+H687+H705</f>
        <v>0</v>
      </c>
      <c r="I680" s="45"/>
      <c r="J680" s="46"/>
      <c r="K680" s="47"/>
      <c r="L680" s="48">
        <v>0.9942413112566575</v>
      </c>
      <c r="M680" s="49">
        <f aca="true" t="shared" si="208" ref="M680:U680">+M681+M682+M687+M705</f>
        <v>1164790.7</v>
      </c>
      <c r="N680" s="49">
        <f t="shared" si="208"/>
        <v>1164790.7</v>
      </c>
      <c r="O680" s="49">
        <f t="shared" si="208"/>
        <v>0</v>
      </c>
      <c r="P680" s="49">
        <f t="shared" si="208"/>
        <v>571.3</v>
      </c>
      <c r="Q680" s="49">
        <f t="shared" si="208"/>
        <v>14150.5</v>
      </c>
      <c r="R680" s="49">
        <f t="shared" si="208"/>
        <v>31464.8</v>
      </c>
      <c r="S680" s="49">
        <f t="shared" si="208"/>
        <v>79.6</v>
      </c>
      <c r="T680" s="49">
        <f t="shared" si="208"/>
        <v>0</v>
      </c>
      <c r="U680" s="49">
        <f t="shared" si="208"/>
        <v>1211056.9</v>
      </c>
      <c r="V680" s="51"/>
    </row>
    <row r="681" spans="1:22" ht="12.75" hidden="1">
      <c r="A681" s="52">
        <v>19</v>
      </c>
      <c r="B681" s="53" t="s">
        <v>26</v>
      </c>
      <c r="C681" s="54" t="s">
        <v>29</v>
      </c>
      <c r="D681" s="55" t="s">
        <v>1241</v>
      </c>
      <c r="E681" s="56" t="s">
        <v>31</v>
      </c>
      <c r="F681" s="43">
        <v>0</v>
      </c>
      <c r="G681" s="128"/>
      <c r="H681" s="128"/>
      <c r="I681" s="58"/>
      <c r="J681" s="59">
        <f>+($F$7-$O$952-$Q$952-$P$952-R$952-$S$952)/$F$952*0.354*0.951</f>
        <v>376.76602120660414</v>
      </c>
      <c r="K681" s="60">
        <v>0</v>
      </c>
      <c r="L681" s="48">
        <v>0.9942413112566575</v>
      </c>
      <c r="M681" s="49">
        <f>ROUND(J681*(F682+F687+F705)*(0.5+0.5*L681),1)</f>
        <v>400366.8</v>
      </c>
      <c r="N681" s="49">
        <f>M681+ROUND(SUM(M683:M686)*0.117+SUM(M688:M704)*0.093+SUM(M706:M731)*0.093,1)</f>
        <v>476794.9</v>
      </c>
      <c r="O681" s="61"/>
      <c r="P681" s="62">
        <v>571.3</v>
      </c>
      <c r="Q681" s="63">
        <v>14150.5</v>
      </c>
      <c r="R681" s="62">
        <v>31464.8</v>
      </c>
      <c r="S681" s="63">
        <v>79.6</v>
      </c>
      <c r="T681" s="64"/>
      <c r="U681" s="45">
        <f>N681+O681+P681+Q681+R681+S681+T681</f>
        <v>523061.1</v>
      </c>
      <c r="V681" s="65"/>
    </row>
    <row r="682" spans="1:22" ht="13.5" hidden="1">
      <c r="A682" s="38">
        <v>19</v>
      </c>
      <c r="B682" s="39" t="s">
        <v>26</v>
      </c>
      <c r="C682" s="40" t="s">
        <v>33</v>
      </c>
      <c r="D682" s="55"/>
      <c r="E682" s="79" t="s">
        <v>34</v>
      </c>
      <c r="F682" s="43">
        <f>SUM(F683:F686)</f>
        <v>288.88100000000003</v>
      </c>
      <c r="G682" s="67">
        <f>SUM(G683:G686)</f>
        <v>0</v>
      </c>
      <c r="H682" s="68">
        <f>SUM(H683:H686)</f>
        <v>0</v>
      </c>
      <c r="I682" s="69"/>
      <c r="J682" s="59"/>
      <c r="K682" s="70"/>
      <c r="L682" s="71">
        <v>0.9454443264861218</v>
      </c>
      <c r="M682" s="72">
        <f aca="true" t="shared" si="209" ref="M682:U682">SUM(M683:M686)</f>
        <v>222361</v>
      </c>
      <c r="N682" s="72">
        <f t="shared" si="209"/>
        <v>196344.69999999998</v>
      </c>
      <c r="O682" s="72">
        <f t="shared" si="209"/>
        <v>0</v>
      </c>
      <c r="P682" s="72">
        <f t="shared" si="209"/>
        <v>0</v>
      </c>
      <c r="Q682" s="72">
        <f t="shared" si="209"/>
        <v>0</v>
      </c>
      <c r="R682" s="72">
        <f t="shared" si="209"/>
        <v>0</v>
      </c>
      <c r="S682" s="72">
        <f t="shared" si="209"/>
        <v>0</v>
      </c>
      <c r="T682" s="72">
        <f t="shared" si="209"/>
        <v>-19799.4</v>
      </c>
      <c r="U682" s="72">
        <f t="shared" si="209"/>
        <v>176545.3</v>
      </c>
      <c r="V682" s="73"/>
    </row>
    <row r="683" spans="1:22" s="82" customFormat="1" ht="13.5" hidden="1">
      <c r="A683" s="52">
        <v>19</v>
      </c>
      <c r="B683" s="53" t="s">
        <v>35</v>
      </c>
      <c r="C683" s="54" t="s">
        <v>36</v>
      </c>
      <c r="D683" s="55" t="s">
        <v>1242</v>
      </c>
      <c r="E683" s="74" t="s">
        <v>1243</v>
      </c>
      <c r="F683" s="43">
        <v>218.228</v>
      </c>
      <c r="G683" s="162"/>
      <c r="H683" s="162"/>
      <c r="I683" s="58"/>
      <c r="J683" s="59">
        <f>+($F$7-$O$952-$Q$952-$P$952-$R$952-$S$952)/($F$952-$G$952*1-$H$952*0.5)*0.646*1.0268514</f>
        <v>742.8502282779862</v>
      </c>
      <c r="K683" s="60">
        <v>1.065228053001168</v>
      </c>
      <c r="L683" s="75">
        <v>0.9428994180125215</v>
      </c>
      <c r="M683" s="63">
        <f>ROUND(J683*(F683-G683-H683*I683)*K683*(0.5+0.5*L683),1)</f>
        <v>167754.7</v>
      </c>
      <c r="N683" s="63">
        <f>ROUND(M683*0.883,1)</f>
        <v>148127.4</v>
      </c>
      <c r="O683" s="62"/>
      <c r="P683" s="76"/>
      <c r="Q683" s="77"/>
      <c r="R683" s="76"/>
      <c r="S683" s="77"/>
      <c r="T683" s="64"/>
      <c r="U683" s="45">
        <f>+N683+O683+T683+R683+S683+Q683</f>
        <v>148127.4</v>
      </c>
      <c r="V683" s="65"/>
    </row>
    <row r="684" spans="1:22" s="129" customFormat="1" ht="12.75" hidden="1">
      <c r="A684" s="52">
        <v>19</v>
      </c>
      <c r="B684" s="53" t="s">
        <v>32</v>
      </c>
      <c r="C684" s="54" t="s">
        <v>36</v>
      </c>
      <c r="D684" s="55" t="s">
        <v>1244</v>
      </c>
      <c r="E684" s="56" t="s">
        <v>1245</v>
      </c>
      <c r="F684" s="43">
        <v>29.345</v>
      </c>
      <c r="G684" s="162"/>
      <c r="H684" s="162"/>
      <c r="I684" s="58"/>
      <c r="J684" s="59">
        <f>+($F$7-$O$952-$Q$952-$P$952-$R$952-$S$952)/($F$952-$G$952*1-$H$952*0.5)*0.646*1.0268514</f>
        <v>742.8502282779862</v>
      </c>
      <c r="K684" s="60">
        <v>1.065228053001168</v>
      </c>
      <c r="L684" s="75">
        <v>0.9312714735462893</v>
      </c>
      <c r="M684" s="63">
        <f>ROUND(J684*(F684-G684-H684*I684)*K684*(0.5+0.5*L684),1)</f>
        <v>22422.9</v>
      </c>
      <c r="N684" s="63">
        <f>ROUND(M684*0.883,1)</f>
        <v>19799.4</v>
      </c>
      <c r="O684" s="62"/>
      <c r="P684" s="76"/>
      <c r="Q684" s="77"/>
      <c r="R684" s="76"/>
      <c r="S684" s="77"/>
      <c r="T684" s="64">
        <f>-ROUND(N684,1)</f>
        <v>-19799.4</v>
      </c>
      <c r="U684" s="45">
        <f>+N684+O684+T684+R684+S684+Q684</f>
        <v>0</v>
      </c>
      <c r="V684" s="65"/>
    </row>
    <row r="685" spans="1:22" ht="12.75" hidden="1">
      <c r="A685" s="52">
        <v>19</v>
      </c>
      <c r="B685" s="53" t="s">
        <v>118</v>
      </c>
      <c r="C685" s="54" t="s">
        <v>36</v>
      </c>
      <c r="D685" s="55" t="s">
        <v>1246</v>
      </c>
      <c r="E685" s="56" t="s">
        <v>1247</v>
      </c>
      <c r="F685" s="43">
        <v>19.784</v>
      </c>
      <c r="G685" s="162"/>
      <c r="H685" s="162"/>
      <c r="I685" s="58"/>
      <c r="J685" s="59">
        <f>+($F$7-$O$952-$Q$952-$P$952-$R$952-$S$952)/($F$952-$G$952*1-$H$952*0.5)*0.646*1.0268514</f>
        <v>742.8502282779862</v>
      </c>
      <c r="K685" s="60">
        <v>1.065228053001168</v>
      </c>
      <c r="L685" s="75">
        <v>0.9708506121750217</v>
      </c>
      <c r="M685" s="63">
        <f>ROUND(J685*(F685-G685-H685*I685)*K685*(0.5+0.5*L685),1)</f>
        <v>15427</v>
      </c>
      <c r="N685" s="63">
        <f>ROUND(M685*0.883,1)</f>
        <v>13622</v>
      </c>
      <c r="O685" s="62"/>
      <c r="P685" s="76"/>
      <c r="Q685" s="77"/>
      <c r="R685" s="76"/>
      <c r="S685" s="77"/>
      <c r="T685" s="64"/>
      <c r="U685" s="45">
        <f>+N685+O685+T685+R685+S685+Q685</f>
        <v>13622</v>
      </c>
      <c r="V685" s="65"/>
    </row>
    <row r="686" spans="1:22" ht="12.75" hidden="1">
      <c r="A686" s="52">
        <v>19</v>
      </c>
      <c r="B686" s="53" t="s">
        <v>127</v>
      </c>
      <c r="C686" s="54" t="s">
        <v>36</v>
      </c>
      <c r="D686" s="55" t="s">
        <v>1248</v>
      </c>
      <c r="E686" s="56" t="s">
        <v>1249</v>
      </c>
      <c r="F686" s="43">
        <v>21.524</v>
      </c>
      <c r="G686" s="162"/>
      <c r="H686" s="162"/>
      <c r="I686" s="58"/>
      <c r="J686" s="59">
        <f>+($F$7-$O$952-$Q$952-$P$952-$R$952-$S$952)/($F$952-$G$952*1-$H$952*0.5)*0.646*1.0268514</f>
        <v>742.8502282779862</v>
      </c>
      <c r="K686" s="60">
        <v>1.065228053001168</v>
      </c>
      <c r="L686" s="75">
        <v>0.9676299433363843</v>
      </c>
      <c r="M686" s="63">
        <f>ROUND(J686*(F686-G686-H686*I686)*K686*(0.5+0.5*L686),1)</f>
        <v>16756.4</v>
      </c>
      <c r="N686" s="63">
        <f>ROUND(M686*0.883,1)</f>
        <v>14795.9</v>
      </c>
      <c r="O686" s="62"/>
      <c r="P686" s="76"/>
      <c r="Q686" s="77"/>
      <c r="R686" s="76"/>
      <c r="S686" s="77"/>
      <c r="T686" s="64"/>
      <c r="U686" s="45">
        <f>+N686+O686+T686+R686+S686+Q686</f>
        <v>14795.9</v>
      </c>
      <c r="V686" s="65"/>
    </row>
    <row r="687" spans="1:22" ht="30.75" customHeight="1" hidden="1">
      <c r="A687" s="38">
        <v>19</v>
      </c>
      <c r="B687" s="39" t="s">
        <v>26</v>
      </c>
      <c r="C687" s="40" t="s">
        <v>49</v>
      </c>
      <c r="D687" s="55"/>
      <c r="E687" s="79" t="s">
        <v>50</v>
      </c>
      <c r="F687" s="43">
        <f>SUM(F688:F704)</f>
        <v>548.6490000000001</v>
      </c>
      <c r="G687" s="67">
        <f>SUM(G688:G704)</f>
        <v>0</v>
      </c>
      <c r="H687" s="68">
        <f>SUM(H688:H704)</f>
        <v>0</v>
      </c>
      <c r="I687" s="69"/>
      <c r="J687" s="80"/>
      <c r="K687" s="70"/>
      <c r="L687" s="71">
        <v>1.0122705849002962</v>
      </c>
      <c r="M687" s="72">
        <f aca="true" t="shared" si="210" ref="M687:U687">SUM(M688:M704)</f>
        <v>383022.49999999994</v>
      </c>
      <c r="N687" s="72">
        <f t="shared" si="210"/>
        <v>347401.39999999997</v>
      </c>
      <c r="O687" s="72">
        <f t="shared" si="210"/>
        <v>0</v>
      </c>
      <c r="P687" s="72">
        <f t="shared" si="210"/>
        <v>0</v>
      </c>
      <c r="Q687" s="72">
        <f t="shared" si="210"/>
        <v>0</v>
      </c>
      <c r="R687" s="72">
        <f t="shared" si="210"/>
        <v>0</v>
      </c>
      <c r="S687" s="72">
        <f t="shared" si="210"/>
        <v>0</v>
      </c>
      <c r="T687" s="72">
        <f t="shared" si="210"/>
        <v>23588.5</v>
      </c>
      <c r="U687" s="72">
        <f t="shared" si="210"/>
        <v>370989.89999999997</v>
      </c>
      <c r="V687" s="73"/>
    </row>
    <row r="688" spans="1:22" ht="12.75" hidden="1">
      <c r="A688" s="52">
        <v>19</v>
      </c>
      <c r="B688" s="53" t="s">
        <v>51</v>
      </c>
      <c r="C688" s="54" t="s">
        <v>52</v>
      </c>
      <c r="D688" s="55" t="s">
        <v>1250</v>
      </c>
      <c r="E688" s="56" t="s">
        <v>1251</v>
      </c>
      <c r="F688" s="43">
        <v>21.429</v>
      </c>
      <c r="G688" s="128"/>
      <c r="H688" s="128"/>
      <c r="I688" s="58"/>
      <c r="J688" s="59">
        <f aca="true" t="shared" si="211" ref="J688:J704">+($F$7-$O$952-$Q$952-$P$952-$R$952-$S$952)/($F$952-$G$952*1-$H$952*0.5)*0.646*1.0268514</f>
        <v>742.8502282779862</v>
      </c>
      <c r="K688" s="60">
        <v>0.9336178972540682</v>
      </c>
      <c r="L688" s="75">
        <v>1.0464519287907943</v>
      </c>
      <c r="M688" s="63">
        <f aca="true" t="shared" si="212" ref="M688:M704">ROUND(J688*(F688-G688-H688*I688)*K688*(0.5+0.5*L688),1)</f>
        <v>15207</v>
      </c>
      <c r="N688" s="63">
        <f aca="true" t="shared" si="213" ref="N688:N704">ROUND(M688*0.907,1)</f>
        <v>13792.7</v>
      </c>
      <c r="O688" s="62"/>
      <c r="P688" s="76"/>
      <c r="Q688" s="77"/>
      <c r="R688" s="76"/>
      <c r="S688" s="77"/>
      <c r="T688" s="64"/>
      <c r="U688" s="45">
        <f aca="true" t="shared" si="214" ref="U688:U704">+N688+O688+T688+R688+S688+Q688</f>
        <v>13792.7</v>
      </c>
      <c r="V688" s="65"/>
    </row>
    <row r="689" spans="1:22" ht="12.75" hidden="1">
      <c r="A689" s="52">
        <v>19</v>
      </c>
      <c r="B689" s="53" t="s">
        <v>55</v>
      </c>
      <c r="C689" s="54" t="s">
        <v>52</v>
      </c>
      <c r="D689" s="55" t="s">
        <v>1252</v>
      </c>
      <c r="E689" s="56" t="s">
        <v>1253</v>
      </c>
      <c r="F689" s="43">
        <v>39.033</v>
      </c>
      <c r="G689" s="57"/>
      <c r="H689" s="57"/>
      <c r="I689" s="58"/>
      <c r="J689" s="59">
        <f t="shared" si="211"/>
        <v>742.8502282779862</v>
      </c>
      <c r="K689" s="60">
        <v>0.9336178972540682</v>
      </c>
      <c r="L689" s="75">
        <v>1.02552893681164</v>
      </c>
      <c r="M689" s="63">
        <f t="shared" si="212"/>
        <v>27416.4</v>
      </c>
      <c r="N689" s="63">
        <f t="shared" si="213"/>
        <v>24866.7</v>
      </c>
      <c r="O689" s="62"/>
      <c r="P689" s="76"/>
      <c r="Q689" s="77"/>
      <c r="R689" s="76"/>
      <c r="S689" s="77"/>
      <c r="T689" s="64"/>
      <c r="U689" s="45">
        <f t="shared" si="214"/>
        <v>24866.7</v>
      </c>
      <c r="V689" s="65"/>
    </row>
    <row r="690" spans="1:22" ht="12.75" hidden="1">
      <c r="A690" s="52">
        <v>19</v>
      </c>
      <c r="B690" s="53" t="s">
        <v>58</v>
      </c>
      <c r="C690" s="54" t="s">
        <v>52</v>
      </c>
      <c r="D690" s="55" t="s">
        <v>1254</v>
      </c>
      <c r="E690" s="56" t="s">
        <v>1255</v>
      </c>
      <c r="F690" s="43">
        <v>52.899</v>
      </c>
      <c r="G690" s="57"/>
      <c r="H690" s="57"/>
      <c r="I690" s="58"/>
      <c r="J690" s="59">
        <f t="shared" si="211"/>
        <v>742.8502282779862</v>
      </c>
      <c r="K690" s="60">
        <v>0.9336178972540682</v>
      </c>
      <c r="L690" s="75">
        <v>0.9719684919317225</v>
      </c>
      <c r="M690" s="63">
        <f t="shared" si="212"/>
        <v>36173.3</v>
      </c>
      <c r="N690" s="63">
        <f t="shared" si="213"/>
        <v>32809.2</v>
      </c>
      <c r="O690" s="62"/>
      <c r="P690" s="76"/>
      <c r="Q690" s="77"/>
      <c r="R690" s="76"/>
      <c r="S690" s="77"/>
      <c r="T690" s="64"/>
      <c r="U690" s="45">
        <f t="shared" si="214"/>
        <v>32809.2</v>
      </c>
      <c r="V690" s="65"/>
    </row>
    <row r="691" spans="1:22" ht="12.75" hidden="1">
      <c r="A691" s="52">
        <v>19</v>
      </c>
      <c r="B691" s="53" t="s">
        <v>61</v>
      </c>
      <c r="C691" s="54" t="s">
        <v>52</v>
      </c>
      <c r="D691" s="55" t="s">
        <v>1256</v>
      </c>
      <c r="E691" s="56" t="s">
        <v>1257</v>
      </c>
      <c r="F691" s="43">
        <v>45.945</v>
      </c>
      <c r="G691" s="57"/>
      <c r="H691" s="57"/>
      <c r="I691" s="58"/>
      <c r="J691" s="59">
        <f t="shared" si="211"/>
        <v>742.8502282779862</v>
      </c>
      <c r="K691" s="60">
        <v>0.9336178972540682</v>
      </c>
      <c r="L691" s="75">
        <v>1.0133137020111533</v>
      </c>
      <c r="M691" s="63">
        <f t="shared" si="212"/>
        <v>32076.7</v>
      </c>
      <c r="N691" s="63">
        <f t="shared" si="213"/>
        <v>29093.6</v>
      </c>
      <c r="O691" s="62"/>
      <c r="P691" s="76"/>
      <c r="Q691" s="77"/>
      <c r="R691" s="76"/>
      <c r="S691" s="77"/>
      <c r="T691" s="64"/>
      <c r="U691" s="45">
        <f t="shared" si="214"/>
        <v>29093.6</v>
      </c>
      <c r="V691" s="65"/>
    </row>
    <row r="692" spans="1:22" ht="12.75" hidden="1">
      <c r="A692" s="52">
        <v>19</v>
      </c>
      <c r="B692" s="53" t="s">
        <v>64</v>
      </c>
      <c r="C692" s="54" t="s">
        <v>52</v>
      </c>
      <c r="D692" s="55" t="s">
        <v>1258</v>
      </c>
      <c r="E692" s="56" t="s">
        <v>1259</v>
      </c>
      <c r="F692" s="43">
        <v>47.035</v>
      </c>
      <c r="G692" s="57"/>
      <c r="H692" s="57"/>
      <c r="I692" s="58"/>
      <c r="J692" s="59">
        <f t="shared" si="211"/>
        <v>742.8502282779862</v>
      </c>
      <c r="K692" s="60">
        <v>0.9336178972540682</v>
      </c>
      <c r="L692" s="75">
        <v>1.032892932176741</v>
      </c>
      <c r="M692" s="63">
        <f t="shared" si="212"/>
        <v>33157.1</v>
      </c>
      <c r="N692" s="63">
        <f t="shared" si="213"/>
        <v>30073.5</v>
      </c>
      <c r="O692" s="62"/>
      <c r="P692" s="76"/>
      <c r="Q692" s="77"/>
      <c r="R692" s="76"/>
      <c r="S692" s="77"/>
      <c r="T692" s="64"/>
      <c r="U692" s="45">
        <f t="shared" si="214"/>
        <v>30073.5</v>
      </c>
      <c r="V692" s="65"/>
    </row>
    <row r="693" spans="1:22" ht="12.75" hidden="1">
      <c r="A693" s="52">
        <v>19</v>
      </c>
      <c r="B693" s="53">
        <v>10</v>
      </c>
      <c r="C693" s="54" t="s">
        <v>52</v>
      </c>
      <c r="D693" s="55" t="s">
        <v>1260</v>
      </c>
      <c r="E693" s="56" t="s">
        <v>1261</v>
      </c>
      <c r="F693" s="43">
        <v>55.055</v>
      </c>
      <c r="G693" s="57"/>
      <c r="H693" s="57"/>
      <c r="I693" s="58"/>
      <c r="J693" s="59">
        <f t="shared" si="211"/>
        <v>742.8502282779862</v>
      </c>
      <c r="K693" s="60">
        <v>0.9336178972540682</v>
      </c>
      <c r="L693" s="75">
        <v>1.0105118705684604</v>
      </c>
      <c r="M693" s="63">
        <f t="shared" si="212"/>
        <v>38383.4</v>
      </c>
      <c r="N693" s="63">
        <f t="shared" si="213"/>
        <v>34813.7</v>
      </c>
      <c r="O693" s="62"/>
      <c r="P693" s="76"/>
      <c r="Q693" s="77"/>
      <c r="R693" s="76"/>
      <c r="S693" s="77"/>
      <c r="T693" s="64"/>
      <c r="U693" s="45">
        <f t="shared" si="214"/>
        <v>34813.7</v>
      </c>
      <c r="V693" s="65"/>
    </row>
    <row r="694" spans="1:22" ht="12.75" hidden="1">
      <c r="A694" s="52">
        <v>19</v>
      </c>
      <c r="B694" s="53">
        <v>11</v>
      </c>
      <c r="C694" s="54" t="s">
        <v>52</v>
      </c>
      <c r="D694" s="55" t="s">
        <v>1262</v>
      </c>
      <c r="E694" s="56" t="s">
        <v>1263</v>
      </c>
      <c r="F694" s="43">
        <v>35.529</v>
      </c>
      <c r="G694" s="57"/>
      <c r="H694" s="57"/>
      <c r="I694" s="58"/>
      <c r="J694" s="59">
        <f t="shared" si="211"/>
        <v>742.8502282779862</v>
      </c>
      <c r="K694" s="60">
        <v>0.9336178972540682</v>
      </c>
      <c r="L694" s="75">
        <v>1.0164521270798375</v>
      </c>
      <c r="M694" s="63">
        <f t="shared" si="212"/>
        <v>24843.4</v>
      </c>
      <c r="N694" s="63">
        <f t="shared" si="213"/>
        <v>22533</v>
      </c>
      <c r="O694" s="62"/>
      <c r="P694" s="76"/>
      <c r="Q694" s="77"/>
      <c r="R694" s="76"/>
      <c r="S694" s="77"/>
      <c r="T694" s="64"/>
      <c r="U694" s="45">
        <f t="shared" si="214"/>
        <v>22533</v>
      </c>
      <c r="V694" s="65"/>
    </row>
    <row r="695" spans="1:22" ht="12.75" hidden="1">
      <c r="A695" s="52">
        <v>19</v>
      </c>
      <c r="B695" s="53">
        <v>12</v>
      </c>
      <c r="C695" s="54" t="s">
        <v>52</v>
      </c>
      <c r="D695" s="55" t="s">
        <v>1264</v>
      </c>
      <c r="E695" s="56" t="s">
        <v>1265</v>
      </c>
      <c r="F695" s="43">
        <v>33.574</v>
      </c>
      <c r="G695" s="57"/>
      <c r="H695" s="57"/>
      <c r="I695" s="58"/>
      <c r="J695" s="59">
        <f t="shared" si="211"/>
        <v>742.8502282779862</v>
      </c>
      <c r="K695" s="60">
        <v>0.9336178972540682</v>
      </c>
      <c r="L695" s="75">
        <v>1.0173521724107617</v>
      </c>
      <c r="M695" s="63">
        <f t="shared" si="212"/>
        <v>23486.9</v>
      </c>
      <c r="N695" s="63">
        <f t="shared" si="213"/>
        <v>21302.6</v>
      </c>
      <c r="O695" s="62"/>
      <c r="P695" s="76"/>
      <c r="Q695" s="77"/>
      <c r="R695" s="76"/>
      <c r="S695" s="77"/>
      <c r="T695" s="64"/>
      <c r="U695" s="45">
        <f t="shared" si="214"/>
        <v>21302.6</v>
      </c>
      <c r="V695" s="65"/>
    </row>
    <row r="696" spans="1:22" ht="12.75" hidden="1">
      <c r="A696" s="52">
        <v>19</v>
      </c>
      <c r="B696" s="53">
        <v>13</v>
      </c>
      <c r="C696" s="54" t="s">
        <v>52</v>
      </c>
      <c r="D696" s="55" t="s">
        <v>1266</v>
      </c>
      <c r="E696" s="56" t="s">
        <v>1267</v>
      </c>
      <c r="F696" s="43">
        <v>35.429</v>
      </c>
      <c r="G696" s="57"/>
      <c r="H696" s="57"/>
      <c r="I696" s="58"/>
      <c r="J696" s="59">
        <f t="shared" si="211"/>
        <v>742.8502282779862</v>
      </c>
      <c r="K696" s="60">
        <v>0.9336178972540682</v>
      </c>
      <c r="L696" s="75">
        <v>0.9843878595549084</v>
      </c>
      <c r="M696" s="63">
        <f t="shared" si="212"/>
        <v>24379.6</v>
      </c>
      <c r="N696" s="63">
        <f t="shared" si="213"/>
        <v>22112.3</v>
      </c>
      <c r="O696" s="62"/>
      <c r="P696" s="76"/>
      <c r="Q696" s="77"/>
      <c r="R696" s="76"/>
      <c r="S696" s="77"/>
      <c r="T696" s="64"/>
      <c r="U696" s="45">
        <f t="shared" si="214"/>
        <v>22112.3</v>
      </c>
      <c r="V696" s="65"/>
    </row>
    <row r="697" spans="1:22" ht="12.75" hidden="1">
      <c r="A697" s="52">
        <v>19</v>
      </c>
      <c r="B697" s="53">
        <v>14</v>
      </c>
      <c r="C697" s="54" t="s">
        <v>52</v>
      </c>
      <c r="D697" s="55" t="s">
        <v>1268</v>
      </c>
      <c r="E697" s="56" t="s">
        <v>1269</v>
      </c>
      <c r="F697" s="43">
        <v>29.653</v>
      </c>
      <c r="G697" s="57"/>
      <c r="H697" s="57"/>
      <c r="I697" s="58"/>
      <c r="J697" s="59">
        <f t="shared" si="211"/>
        <v>742.8502282779862</v>
      </c>
      <c r="K697" s="60">
        <v>0.9336178972540682</v>
      </c>
      <c r="L697" s="75">
        <v>1.018963893792078</v>
      </c>
      <c r="M697" s="63">
        <f t="shared" si="212"/>
        <v>20760.5</v>
      </c>
      <c r="N697" s="63">
        <f t="shared" si="213"/>
        <v>18829.8</v>
      </c>
      <c r="O697" s="62"/>
      <c r="P697" s="76"/>
      <c r="Q697" s="77"/>
      <c r="R697" s="76"/>
      <c r="S697" s="77"/>
      <c r="T697" s="64"/>
      <c r="U697" s="45">
        <f t="shared" si="214"/>
        <v>18829.8</v>
      </c>
      <c r="V697" s="65"/>
    </row>
    <row r="698" spans="1:22" ht="12.75" hidden="1">
      <c r="A698" s="52">
        <v>19</v>
      </c>
      <c r="B698" s="53">
        <v>15</v>
      </c>
      <c r="C698" s="54" t="s">
        <v>52</v>
      </c>
      <c r="D698" s="55" t="s">
        <v>1270</v>
      </c>
      <c r="E698" s="56" t="s">
        <v>1271</v>
      </c>
      <c r="F698" s="43">
        <v>23.562</v>
      </c>
      <c r="G698" s="57"/>
      <c r="H698" s="57"/>
      <c r="I698" s="58"/>
      <c r="J698" s="59">
        <f t="shared" si="211"/>
        <v>742.8502282779862</v>
      </c>
      <c r="K698" s="60">
        <v>0.9336178972540682</v>
      </c>
      <c r="L698" s="75">
        <v>1.0515192539675104</v>
      </c>
      <c r="M698" s="63">
        <f t="shared" si="212"/>
        <v>16762.1</v>
      </c>
      <c r="N698" s="63">
        <f t="shared" si="213"/>
        <v>15203.2</v>
      </c>
      <c r="O698" s="62"/>
      <c r="P698" s="76"/>
      <c r="Q698" s="77"/>
      <c r="R698" s="76"/>
      <c r="S698" s="77"/>
      <c r="T698" s="64"/>
      <c r="U698" s="45">
        <f t="shared" si="214"/>
        <v>15203.2</v>
      </c>
      <c r="V698" s="65"/>
    </row>
    <row r="699" spans="1:22" ht="12.75" hidden="1">
      <c r="A699" s="52">
        <v>19</v>
      </c>
      <c r="B699" s="53">
        <v>16</v>
      </c>
      <c r="C699" s="54" t="s">
        <v>52</v>
      </c>
      <c r="D699" s="55" t="s">
        <v>1272</v>
      </c>
      <c r="E699" s="56" t="s">
        <v>1273</v>
      </c>
      <c r="F699" s="43">
        <v>0.973</v>
      </c>
      <c r="G699" s="57"/>
      <c r="H699" s="57"/>
      <c r="I699" s="58"/>
      <c r="J699" s="59">
        <f t="shared" si="211"/>
        <v>742.8502282779862</v>
      </c>
      <c r="K699" s="60">
        <v>0.9336178972540682</v>
      </c>
      <c r="L699" s="75">
        <v>1.020456580828283</v>
      </c>
      <c r="M699" s="63">
        <f t="shared" si="212"/>
        <v>681.7</v>
      </c>
      <c r="N699" s="63">
        <f t="shared" si="213"/>
        <v>618.3</v>
      </c>
      <c r="O699" s="62"/>
      <c r="P699" s="76"/>
      <c r="Q699" s="77"/>
      <c r="R699" s="76"/>
      <c r="S699" s="77"/>
      <c r="T699" s="64"/>
      <c r="U699" s="45">
        <f t="shared" si="214"/>
        <v>618.3</v>
      </c>
      <c r="V699" s="65"/>
    </row>
    <row r="700" spans="1:22" ht="12.75" hidden="1">
      <c r="A700" s="52">
        <v>19</v>
      </c>
      <c r="B700" s="53">
        <v>17</v>
      </c>
      <c r="C700" s="54" t="s">
        <v>52</v>
      </c>
      <c r="D700" s="55" t="s">
        <v>1274</v>
      </c>
      <c r="E700" s="56" t="s">
        <v>1275</v>
      </c>
      <c r="F700" s="43">
        <v>18.646</v>
      </c>
      <c r="G700" s="57"/>
      <c r="H700" s="57"/>
      <c r="I700" s="58"/>
      <c r="J700" s="59">
        <f t="shared" si="211"/>
        <v>742.8502282779862</v>
      </c>
      <c r="K700" s="60">
        <v>0.9336178972540682</v>
      </c>
      <c r="L700" s="75">
        <v>1.0396449255223412</v>
      </c>
      <c r="M700" s="63">
        <f t="shared" si="212"/>
        <v>13188.1</v>
      </c>
      <c r="N700" s="63">
        <f t="shared" si="213"/>
        <v>11961.6</v>
      </c>
      <c r="O700" s="62"/>
      <c r="P700" s="76"/>
      <c r="Q700" s="77"/>
      <c r="R700" s="76"/>
      <c r="S700" s="77"/>
      <c r="T700" s="64"/>
      <c r="U700" s="45">
        <f t="shared" si="214"/>
        <v>11961.6</v>
      </c>
      <c r="V700" s="65"/>
    </row>
    <row r="701" spans="1:22" ht="12.75" hidden="1">
      <c r="A701" s="52">
        <v>19</v>
      </c>
      <c r="B701" s="53">
        <v>18</v>
      </c>
      <c r="C701" s="54" t="s">
        <v>52</v>
      </c>
      <c r="D701" s="55" t="s">
        <v>1276</v>
      </c>
      <c r="E701" s="56" t="s">
        <v>1277</v>
      </c>
      <c r="F701" s="43">
        <v>14.943</v>
      </c>
      <c r="G701" s="57"/>
      <c r="H701" s="57"/>
      <c r="I701" s="58"/>
      <c r="J701" s="59">
        <f t="shared" si="211"/>
        <v>742.8502282779862</v>
      </c>
      <c r="K701" s="60">
        <v>0.9336178972540682</v>
      </c>
      <c r="L701" s="75">
        <v>1.002357312371872</v>
      </c>
      <c r="M701" s="63">
        <f t="shared" si="212"/>
        <v>10375.8</v>
      </c>
      <c r="N701" s="63">
        <f t="shared" si="213"/>
        <v>9410.9</v>
      </c>
      <c r="O701" s="62"/>
      <c r="P701" s="76"/>
      <c r="Q701" s="77"/>
      <c r="R701" s="76"/>
      <c r="S701" s="77"/>
      <c r="T701" s="64"/>
      <c r="U701" s="45">
        <f t="shared" si="214"/>
        <v>9410.9</v>
      </c>
      <c r="V701" s="65"/>
    </row>
    <row r="702" spans="1:22" s="82" customFormat="1" ht="13.5" hidden="1">
      <c r="A702" s="52">
        <v>19</v>
      </c>
      <c r="B702" s="53">
        <v>19</v>
      </c>
      <c r="C702" s="54" t="s">
        <v>52</v>
      </c>
      <c r="D702" s="55" t="s">
        <v>1278</v>
      </c>
      <c r="E702" s="56" t="s">
        <v>1279</v>
      </c>
      <c r="F702" s="43">
        <v>50.264</v>
      </c>
      <c r="G702" s="57"/>
      <c r="H702" s="57"/>
      <c r="I702" s="58"/>
      <c r="J702" s="59">
        <f t="shared" si="211"/>
        <v>742.8502282779862</v>
      </c>
      <c r="K702" s="60">
        <v>0.9336178972540682</v>
      </c>
      <c r="L702" s="75">
        <v>0.9896883699226289</v>
      </c>
      <c r="M702" s="63">
        <f t="shared" si="212"/>
        <v>34680.3</v>
      </c>
      <c r="N702" s="63">
        <f t="shared" si="213"/>
        <v>31455</v>
      </c>
      <c r="O702" s="62"/>
      <c r="P702" s="76"/>
      <c r="Q702" s="77"/>
      <c r="R702" s="76"/>
      <c r="S702" s="77"/>
      <c r="T702" s="64"/>
      <c r="U702" s="45">
        <f t="shared" si="214"/>
        <v>31455</v>
      </c>
      <c r="V702" s="65"/>
    </row>
    <row r="703" spans="1:22" s="82" customFormat="1" ht="13.5" hidden="1">
      <c r="A703" s="52">
        <v>19</v>
      </c>
      <c r="B703" s="53">
        <v>20</v>
      </c>
      <c r="C703" s="54" t="s">
        <v>52</v>
      </c>
      <c r="D703" s="55" t="s">
        <v>1280</v>
      </c>
      <c r="E703" s="56" t="s">
        <v>1281</v>
      </c>
      <c r="F703" s="43">
        <v>32.219</v>
      </c>
      <c r="G703" s="57"/>
      <c r="H703" s="57"/>
      <c r="I703" s="58"/>
      <c r="J703" s="59">
        <f t="shared" si="211"/>
        <v>742.8502282779862</v>
      </c>
      <c r="K703" s="60">
        <v>0.9336178972540682</v>
      </c>
      <c r="L703" s="75">
        <v>1.0401173587986363</v>
      </c>
      <c r="M703" s="63">
        <f t="shared" si="212"/>
        <v>22793.3</v>
      </c>
      <c r="N703" s="63">
        <f t="shared" si="213"/>
        <v>20673.5</v>
      </c>
      <c r="O703" s="62"/>
      <c r="P703" s="76"/>
      <c r="Q703" s="77"/>
      <c r="R703" s="76"/>
      <c r="S703" s="77"/>
      <c r="T703" s="64">
        <f>ROUND(N684+(N707*0.7)+(N716*0.7),1)</f>
        <v>23588.5</v>
      </c>
      <c r="U703" s="45">
        <f t="shared" si="214"/>
        <v>44262</v>
      </c>
      <c r="V703" s="65"/>
    </row>
    <row r="704" spans="1:22" s="129" customFormat="1" ht="12.75" hidden="1">
      <c r="A704" s="52">
        <v>19</v>
      </c>
      <c r="B704" s="53">
        <v>21</v>
      </c>
      <c r="C704" s="54" t="s">
        <v>52</v>
      </c>
      <c r="D704" s="55" t="s">
        <v>1282</v>
      </c>
      <c r="E704" s="56" t="s">
        <v>1283</v>
      </c>
      <c r="F704" s="43">
        <v>12.461</v>
      </c>
      <c r="G704" s="57"/>
      <c r="H704" s="57"/>
      <c r="I704" s="58"/>
      <c r="J704" s="59">
        <f t="shared" si="211"/>
        <v>742.8502282779862</v>
      </c>
      <c r="K704" s="60">
        <v>0.9336178972540682</v>
      </c>
      <c r="L704" s="75">
        <v>1.003408753097848</v>
      </c>
      <c r="M704" s="63">
        <f t="shared" si="212"/>
        <v>8656.9</v>
      </c>
      <c r="N704" s="63">
        <f t="shared" si="213"/>
        <v>7851.8</v>
      </c>
      <c r="O704" s="62"/>
      <c r="P704" s="76"/>
      <c r="Q704" s="77"/>
      <c r="R704" s="76"/>
      <c r="S704" s="77"/>
      <c r="T704" s="64"/>
      <c r="U704" s="45">
        <f t="shared" si="214"/>
        <v>7851.8</v>
      </c>
      <c r="V704" s="65"/>
    </row>
    <row r="705" spans="1:22" s="129" customFormat="1" ht="25.5" hidden="1">
      <c r="A705" s="142">
        <v>19</v>
      </c>
      <c r="B705" s="143" t="s">
        <v>26</v>
      </c>
      <c r="C705" s="144" t="s">
        <v>111</v>
      </c>
      <c r="D705" s="169"/>
      <c r="E705" s="79" t="s">
        <v>112</v>
      </c>
      <c r="F705" s="43">
        <f>SUM(F706:F731)</f>
        <v>228.179</v>
      </c>
      <c r="G705" s="83">
        <f>SUM(G706:G731)</f>
        <v>0</v>
      </c>
      <c r="H705" s="83">
        <f>SUM(H706:H731)</f>
        <v>0</v>
      </c>
      <c r="I705" s="58"/>
      <c r="J705" s="59"/>
      <c r="K705" s="60"/>
      <c r="L705" s="75">
        <v>0</v>
      </c>
      <c r="M705" s="163">
        <f aca="true" t="shared" si="215" ref="M705:U705">SUM(M706:M731)</f>
        <v>159040.4</v>
      </c>
      <c r="N705" s="163">
        <f t="shared" si="215"/>
        <v>144249.69999999998</v>
      </c>
      <c r="O705" s="163">
        <f t="shared" si="215"/>
        <v>0</v>
      </c>
      <c r="P705" s="163">
        <f t="shared" si="215"/>
        <v>0</v>
      </c>
      <c r="Q705" s="163">
        <f t="shared" si="215"/>
        <v>0</v>
      </c>
      <c r="R705" s="163">
        <f t="shared" si="215"/>
        <v>0</v>
      </c>
      <c r="S705" s="163">
        <f t="shared" si="215"/>
        <v>0</v>
      </c>
      <c r="T705" s="163">
        <f t="shared" si="215"/>
        <v>-3789.1</v>
      </c>
      <c r="U705" s="163">
        <f t="shared" si="215"/>
        <v>140460.59999999998</v>
      </c>
      <c r="V705" s="51"/>
    </row>
    <row r="706" spans="1:22" s="129" customFormat="1" ht="26.25" hidden="1">
      <c r="A706" s="145">
        <v>19</v>
      </c>
      <c r="B706" s="87">
        <v>22</v>
      </c>
      <c r="C706" s="88" t="s">
        <v>113</v>
      </c>
      <c r="D706" s="169" t="s">
        <v>1284</v>
      </c>
      <c r="E706" s="56" t="s">
        <v>1285</v>
      </c>
      <c r="F706" s="43">
        <v>5.672</v>
      </c>
      <c r="G706" s="57"/>
      <c r="H706" s="57"/>
      <c r="I706" s="58"/>
      <c r="J706" s="59">
        <f aca="true" t="shared" si="216" ref="J706:J731">+($F$7-$O$952-$Q$952-$P$952-$R$952-$S$952)/($F$952-$G$952*1-$H$952*0.5)*0.646*1.0268514</f>
        <v>742.8502282779862</v>
      </c>
      <c r="K706" s="60">
        <v>0.9336178972540682</v>
      </c>
      <c r="L706" s="75">
        <v>0.9896883699226289</v>
      </c>
      <c r="M706" s="63">
        <f aca="true" t="shared" si="217" ref="M706:M731">ROUND(J706*(F706-G706-H706*I706)*K706*(0.5+0.5*L706),1)</f>
        <v>3913.5</v>
      </c>
      <c r="N706" s="63">
        <f aca="true" t="shared" si="218" ref="N706:N731">ROUND(M706*0.907,1)</f>
        <v>3549.5</v>
      </c>
      <c r="O706" s="62"/>
      <c r="P706" s="76"/>
      <c r="Q706" s="77"/>
      <c r="R706" s="76"/>
      <c r="S706" s="77"/>
      <c r="T706" s="64"/>
      <c r="U706" s="45">
        <f aca="true" t="shared" si="219" ref="U706:U731">+N706+O706+T706+R706+S706+Q706</f>
        <v>3549.5</v>
      </c>
      <c r="V706" s="65"/>
    </row>
    <row r="707" spans="1:22" s="129" customFormat="1" ht="26.25" hidden="1">
      <c r="A707" s="145">
        <v>19</v>
      </c>
      <c r="B707" s="87">
        <v>23</v>
      </c>
      <c r="C707" s="88" t="s">
        <v>113</v>
      </c>
      <c r="D707" s="169" t="s">
        <v>1286</v>
      </c>
      <c r="E707" s="56" t="s">
        <v>1287</v>
      </c>
      <c r="F707" s="43">
        <v>3.817</v>
      </c>
      <c r="G707" s="57"/>
      <c r="H707" s="57"/>
      <c r="I707" s="58"/>
      <c r="J707" s="59">
        <f t="shared" si="216"/>
        <v>742.8502282779862</v>
      </c>
      <c r="K707" s="60">
        <v>0.9336178972540682</v>
      </c>
      <c r="L707" s="75">
        <v>1.0401173587986363</v>
      </c>
      <c r="M707" s="63">
        <f t="shared" si="217"/>
        <v>2700.3</v>
      </c>
      <c r="N707" s="63">
        <f t="shared" si="218"/>
        <v>2449.2</v>
      </c>
      <c r="O707" s="62"/>
      <c r="P707" s="76"/>
      <c r="Q707" s="77"/>
      <c r="R707" s="76"/>
      <c r="S707" s="77"/>
      <c r="T707" s="64">
        <f>-ROUND(N707*0.7,1)</f>
        <v>-1714.4</v>
      </c>
      <c r="U707" s="45">
        <f t="shared" si="219"/>
        <v>734.7999999999997</v>
      </c>
      <c r="V707" s="65"/>
    </row>
    <row r="708" spans="1:22" s="129" customFormat="1" ht="26.25" hidden="1">
      <c r="A708" s="145">
        <v>19</v>
      </c>
      <c r="B708" s="87">
        <v>24</v>
      </c>
      <c r="C708" s="88" t="s">
        <v>113</v>
      </c>
      <c r="D708" s="169" t="s">
        <v>1288</v>
      </c>
      <c r="E708" s="56" t="s">
        <v>1289</v>
      </c>
      <c r="F708" s="43">
        <v>6.274</v>
      </c>
      <c r="G708" s="57"/>
      <c r="H708" s="57"/>
      <c r="I708" s="58"/>
      <c r="J708" s="59">
        <f t="shared" si="216"/>
        <v>742.8502282779862</v>
      </c>
      <c r="K708" s="60">
        <v>0.9336178972540682</v>
      </c>
      <c r="L708" s="75">
        <v>1.0133137020111533</v>
      </c>
      <c r="M708" s="63">
        <f t="shared" si="217"/>
        <v>4380.2</v>
      </c>
      <c r="N708" s="63">
        <f t="shared" si="218"/>
        <v>3972.8</v>
      </c>
      <c r="O708" s="62"/>
      <c r="P708" s="76"/>
      <c r="Q708" s="77"/>
      <c r="R708" s="76"/>
      <c r="S708" s="77"/>
      <c r="T708" s="64"/>
      <c r="U708" s="45">
        <f t="shared" si="219"/>
        <v>3972.8</v>
      </c>
      <c r="V708" s="65"/>
    </row>
    <row r="709" spans="1:22" s="129" customFormat="1" ht="26.25" hidden="1">
      <c r="A709" s="145">
        <v>19</v>
      </c>
      <c r="B709" s="87">
        <v>25</v>
      </c>
      <c r="C709" s="88" t="s">
        <v>113</v>
      </c>
      <c r="D709" s="169" t="s">
        <v>1290</v>
      </c>
      <c r="E709" s="56" t="s">
        <v>1291</v>
      </c>
      <c r="F709" s="43">
        <v>11.399</v>
      </c>
      <c r="G709" s="57"/>
      <c r="H709" s="57"/>
      <c r="I709" s="58"/>
      <c r="J709" s="59">
        <f t="shared" si="216"/>
        <v>742.8502282779862</v>
      </c>
      <c r="K709" s="60">
        <v>0.9336178972540682</v>
      </c>
      <c r="L709" s="75">
        <v>0.9896883699226289</v>
      </c>
      <c r="M709" s="63">
        <f t="shared" si="217"/>
        <v>7864.9</v>
      </c>
      <c r="N709" s="63">
        <f t="shared" si="218"/>
        <v>7133.5</v>
      </c>
      <c r="O709" s="62"/>
      <c r="P709" s="76"/>
      <c r="Q709" s="77"/>
      <c r="R709" s="76"/>
      <c r="S709" s="77"/>
      <c r="T709" s="64"/>
      <c r="U709" s="45">
        <f t="shared" si="219"/>
        <v>7133.5</v>
      </c>
      <c r="V709" s="65"/>
    </row>
    <row r="710" spans="1:22" s="129" customFormat="1" ht="25.5" hidden="1">
      <c r="A710" s="145">
        <v>19</v>
      </c>
      <c r="B710" s="87">
        <v>26</v>
      </c>
      <c r="C710" s="88" t="s">
        <v>113</v>
      </c>
      <c r="D710" s="169" t="s">
        <v>1292</v>
      </c>
      <c r="E710" s="90" t="s">
        <v>1293</v>
      </c>
      <c r="F710" s="43">
        <v>8.341</v>
      </c>
      <c r="G710" s="57"/>
      <c r="H710" s="57"/>
      <c r="I710" s="58"/>
      <c r="J710" s="59">
        <f t="shared" si="216"/>
        <v>742.8502282779862</v>
      </c>
      <c r="K710" s="60">
        <v>0.9336178972540682</v>
      </c>
      <c r="L710" s="75">
        <v>1.0133137020111533</v>
      </c>
      <c r="M710" s="63">
        <f t="shared" si="217"/>
        <v>5823.3</v>
      </c>
      <c r="N710" s="63">
        <f t="shared" si="218"/>
        <v>5281.7</v>
      </c>
      <c r="O710" s="62"/>
      <c r="P710" s="76"/>
      <c r="Q710" s="77"/>
      <c r="R710" s="76"/>
      <c r="S710" s="77"/>
      <c r="T710" s="64"/>
      <c r="U710" s="45">
        <f t="shared" si="219"/>
        <v>5281.7</v>
      </c>
      <c r="V710" s="65"/>
    </row>
    <row r="711" spans="1:22" s="129" customFormat="1" ht="26.25" hidden="1">
      <c r="A711" s="145">
        <v>19</v>
      </c>
      <c r="B711" s="87">
        <v>27</v>
      </c>
      <c r="C711" s="88" t="s">
        <v>113</v>
      </c>
      <c r="D711" s="169" t="s">
        <v>1294</v>
      </c>
      <c r="E711" s="56" t="s">
        <v>1295</v>
      </c>
      <c r="F711" s="43">
        <v>4.419</v>
      </c>
      <c r="G711" s="57"/>
      <c r="H711" s="57"/>
      <c r="I711" s="58"/>
      <c r="J711" s="59">
        <f t="shared" si="216"/>
        <v>742.8502282779862</v>
      </c>
      <c r="K711" s="60">
        <v>0.9336178972540682</v>
      </c>
      <c r="L711" s="75">
        <v>1.0401173587986363</v>
      </c>
      <c r="M711" s="63">
        <f t="shared" si="217"/>
        <v>3126.2</v>
      </c>
      <c r="N711" s="63">
        <f t="shared" si="218"/>
        <v>2835.5</v>
      </c>
      <c r="O711" s="62"/>
      <c r="P711" s="76"/>
      <c r="Q711" s="77"/>
      <c r="R711" s="76"/>
      <c r="S711" s="77"/>
      <c r="T711" s="64"/>
      <c r="U711" s="45">
        <f t="shared" si="219"/>
        <v>2835.5</v>
      </c>
      <c r="V711" s="65"/>
    </row>
    <row r="712" spans="1:22" s="129" customFormat="1" ht="26.25" hidden="1">
      <c r="A712" s="145">
        <v>19</v>
      </c>
      <c r="B712" s="87">
        <v>28</v>
      </c>
      <c r="C712" s="88" t="s">
        <v>113</v>
      </c>
      <c r="D712" s="169" t="s">
        <v>1296</v>
      </c>
      <c r="E712" s="56" t="s">
        <v>1297</v>
      </c>
      <c r="F712" s="43">
        <v>8.139</v>
      </c>
      <c r="G712" s="57"/>
      <c r="H712" s="57"/>
      <c r="I712" s="58"/>
      <c r="J712" s="59">
        <f t="shared" si="216"/>
        <v>742.8502282779862</v>
      </c>
      <c r="K712" s="60">
        <v>0.9336178972540682</v>
      </c>
      <c r="L712" s="75">
        <v>1.002357312371872</v>
      </c>
      <c r="M712" s="63">
        <f t="shared" si="217"/>
        <v>5651.4</v>
      </c>
      <c r="N712" s="63">
        <f t="shared" si="218"/>
        <v>5125.8</v>
      </c>
      <c r="O712" s="62"/>
      <c r="P712" s="76"/>
      <c r="Q712" s="77"/>
      <c r="R712" s="76"/>
      <c r="S712" s="77"/>
      <c r="T712" s="64"/>
      <c r="U712" s="45">
        <f t="shared" si="219"/>
        <v>5125.8</v>
      </c>
      <c r="V712" s="65"/>
    </row>
    <row r="713" spans="1:22" s="129" customFormat="1" ht="26.25" hidden="1">
      <c r="A713" s="145">
        <v>19</v>
      </c>
      <c r="B713" s="87">
        <v>29</v>
      </c>
      <c r="C713" s="88" t="s">
        <v>113</v>
      </c>
      <c r="D713" s="169" t="s">
        <v>1298</v>
      </c>
      <c r="E713" s="56" t="s">
        <v>1299</v>
      </c>
      <c r="F713" s="43">
        <v>10.902</v>
      </c>
      <c r="G713" s="57"/>
      <c r="H713" s="57"/>
      <c r="I713" s="58"/>
      <c r="J713" s="59">
        <f t="shared" si="216"/>
        <v>742.8502282779862</v>
      </c>
      <c r="K713" s="60">
        <v>0.9336178972540682</v>
      </c>
      <c r="L713" s="75">
        <v>0.9719684919317225</v>
      </c>
      <c r="M713" s="63">
        <f t="shared" si="217"/>
        <v>7455</v>
      </c>
      <c r="N713" s="63">
        <f t="shared" si="218"/>
        <v>6761.7</v>
      </c>
      <c r="O713" s="62"/>
      <c r="P713" s="76"/>
      <c r="Q713" s="77"/>
      <c r="R713" s="76"/>
      <c r="S713" s="77"/>
      <c r="T713" s="64"/>
      <c r="U713" s="45">
        <f t="shared" si="219"/>
        <v>6761.7</v>
      </c>
      <c r="V713" s="65"/>
    </row>
    <row r="714" spans="1:22" s="129" customFormat="1" ht="26.25" hidden="1">
      <c r="A714" s="145">
        <v>19</v>
      </c>
      <c r="B714" s="87">
        <v>30</v>
      </c>
      <c r="C714" s="88" t="s">
        <v>113</v>
      </c>
      <c r="D714" s="169" t="s">
        <v>1300</v>
      </c>
      <c r="E714" s="56" t="s">
        <v>1301</v>
      </c>
      <c r="F714" s="43">
        <v>4.435</v>
      </c>
      <c r="G714" s="57"/>
      <c r="H714" s="57"/>
      <c r="I714" s="58"/>
      <c r="J714" s="59">
        <f t="shared" si="216"/>
        <v>742.8502282779862</v>
      </c>
      <c r="K714" s="60">
        <v>0.9336178972540682</v>
      </c>
      <c r="L714" s="75">
        <v>1.002357312371872</v>
      </c>
      <c r="M714" s="63">
        <f t="shared" si="217"/>
        <v>3079.5</v>
      </c>
      <c r="N714" s="63">
        <f t="shared" si="218"/>
        <v>2793.1</v>
      </c>
      <c r="O714" s="62"/>
      <c r="P714" s="76"/>
      <c r="Q714" s="77"/>
      <c r="R714" s="76"/>
      <c r="S714" s="77"/>
      <c r="T714" s="64"/>
      <c r="U714" s="45">
        <f t="shared" si="219"/>
        <v>2793.1</v>
      </c>
      <c r="V714" s="65"/>
    </row>
    <row r="715" spans="1:22" s="129" customFormat="1" ht="26.25" hidden="1">
      <c r="A715" s="145">
        <v>19</v>
      </c>
      <c r="B715" s="87">
        <v>31</v>
      </c>
      <c r="C715" s="88" t="s">
        <v>113</v>
      </c>
      <c r="D715" s="169" t="s">
        <v>1302</v>
      </c>
      <c r="E715" s="56" t="s">
        <v>1303</v>
      </c>
      <c r="F715" s="43">
        <v>4.629</v>
      </c>
      <c r="G715" s="57"/>
      <c r="H715" s="57"/>
      <c r="I715" s="58"/>
      <c r="J715" s="59">
        <f t="shared" si="216"/>
        <v>742.8502282779862</v>
      </c>
      <c r="K715" s="60">
        <v>0.9336178972540682</v>
      </c>
      <c r="L715" s="75">
        <v>1.0173521724107617</v>
      </c>
      <c r="M715" s="63">
        <f t="shared" si="217"/>
        <v>3238.2</v>
      </c>
      <c r="N715" s="63">
        <f t="shared" si="218"/>
        <v>2937</v>
      </c>
      <c r="O715" s="62"/>
      <c r="P715" s="76"/>
      <c r="Q715" s="77"/>
      <c r="R715" s="76"/>
      <c r="S715" s="77"/>
      <c r="T715" s="64"/>
      <c r="U715" s="45">
        <f t="shared" si="219"/>
        <v>2937</v>
      </c>
      <c r="V715" s="65"/>
    </row>
    <row r="716" spans="1:22" s="129" customFormat="1" ht="26.25" hidden="1">
      <c r="A716" s="145">
        <v>19</v>
      </c>
      <c r="B716" s="87">
        <v>32</v>
      </c>
      <c r="C716" s="88" t="s">
        <v>113</v>
      </c>
      <c r="D716" s="169" t="s">
        <v>1304</v>
      </c>
      <c r="E716" s="56" t="s">
        <v>1305</v>
      </c>
      <c r="F716" s="43">
        <v>4.619</v>
      </c>
      <c r="G716" s="57"/>
      <c r="H716" s="57"/>
      <c r="I716" s="58"/>
      <c r="J716" s="59">
        <f t="shared" si="216"/>
        <v>742.8502282779862</v>
      </c>
      <c r="K716" s="60">
        <v>0.9336178972540682</v>
      </c>
      <c r="L716" s="75">
        <v>1.0401173587986363</v>
      </c>
      <c r="M716" s="63">
        <f t="shared" si="217"/>
        <v>3267.7</v>
      </c>
      <c r="N716" s="63">
        <f t="shared" si="218"/>
        <v>2963.8</v>
      </c>
      <c r="O716" s="62"/>
      <c r="P716" s="76"/>
      <c r="Q716" s="77"/>
      <c r="R716" s="76"/>
      <c r="S716" s="77"/>
      <c r="T716" s="64">
        <f>-ROUND(N716*0.7,1)</f>
        <v>-2074.7</v>
      </c>
      <c r="U716" s="45">
        <f t="shared" si="219"/>
        <v>889.1000000000004</v>
      </c>
      <c r="V716" s="65"/>
    </row>
    <row r="717" spans="1:22" s="129" customFormat="1" ht="26.25" hidden="1">
      <c r="A717" s="145">
        <v>19</v>
      </c>
      <c r="B717" s="87">
        <v>33</v>
      </c>
      <c r="C717" s="88" t="s">
        <v>113</v>
      </c>
      <c r="D717" s="169" t="s">
        <v>1306</v>
      </c>
      <c r="E717" s="56" t="s">
        <v>1307</v>
      </c>
      <c r="F717" s="43">
        <v>2.823</v>
      </c>
      <c r="G717" s="57"/>
      <c r="H717" s="57"/>
      <c r="I717" s="58"/>
      <c r="J717" s="59">
        <f t="shared" si="216"/>
        <v>742.8502282779862</v>
      </c>
      <c r="K717" s="60">
        <v>0.9336178972540682</v>
      </c>
      <c r="L717" s="75">
        <v>1.0105118705684604</v>
      </c>
      <c r="M717" s="63">
        <f t="shared" si="217"/>
        <v>1968.1</v>
      </c>
      <c r="N717" s="63">
        <f t="shared" si="218"/>
        <v>1785.1</v>
      </c>
      <c r="O717" s="62"/>
      <c r="P717" s="76"/>
      <c r="Q717" s="77"/>
      <c r="R717" s="76"/>
      <c r="S717" s="77"/>
      <c r="T717" s="64"/>
      <c r="U717" s="45">
        <f t="shared" si="219"/>
        <v>1785.1</v>
      </c>
      <c r="V717" s="65"/>
    </row>
    <row r="718" spans="1:22" s="129" customFormat="1" ht="26.25" hidden="1">
      <c r="A718" s="145">
        <v>19</v>
      </c>
      <c r="B718" s="87">
        <v>34</v>
      </c>
      <c r="C718" s="88" t="s">
        <v>113</v>
      </c>
      <c r="D718" s="169" t="s">
        <v>1308</v>
      </c>
      <c r="E718" s="56" t="s">
        <v>1309</v>
      </c>
      <c r="F718" s="43">
        <v>4.827</v>
      </c>
      <c r="G718" s="57"/>
      <c r="H718" s="57"/>
      <c r="I718" s="58"/>
      <c r="J718" s="59">
        <f t="shared" si="216"/>
        <v>742.8502282779862</v>
      </c>
      <c r="K718" s="60">
        <v>0.9336178972540682</v>
      </c>
      <c r="L718" s="75">
        <v>1.0515192539675104</v>
      </c>
      <c r="M718" s="63">
        <f t="shared" si="217"/>
        <v>3433.9</v>
      </c>
      <c r="N718" s="63">
        <f t="shared" si="218"/>
        <v>3114.5</v>
      </c>
      <c r="O718" s="62"/>
      <c r="P718" s="76"/>
      <c r="Q718" s="77"/>
      <c r="R718" s="76"/>
      <c r="S718" s="77"/>
      <c r="T718" s="64"/>
      <c r="U718" s="45">
        <f t="shared" si="219"/>
        <v>3114.5</v>
      </c>
      <c r="V718" s="65"/>
    </row>
    <row r="719" spans="1:22" s="129" customFormat="1" ht="26.25" hidden="1">
      <c r="A719" s="145">
        <v>19</v>
      </c>
      <c r="B719" s="87">
        <v>35</v>
      </c>
      <c r="C719" s="88" t="s">
        <v>113</v>
      </c>
      <c r="D719" s="169" t="s">
        <v>1310</v>
      </c>
      <c r="E719" s="56" t="s">
        <v>1311</v>
      </c>
      <c r="F719" s="43">
        <v>2.317</v>
      </c>
      <c r="G719" s="57"/>
      <c r="H719" s="57"/>
      <c r="I719" s="58"/>
      <c r="J719" s="59">
        <f t="shared" si="216"/>
        <v>742.8502282779862</v>
      </c>
      <c r="K719" s="60">
        <v>0.9336178972540682</v>
      </c>
      <c r="L719" s="75">
        <v>0.9843878595549084</v>
      </c>
      <c r="M719" s="63">
        <f t="shared" si="217"/>
        <v>1594.4</v>
      </c>
      <c r="N719" s="63">
        <f t="shared" si="218"/>
        <v>1446.1</v>
      </c>
      <c r="O719" s="62"/>
      <c r="P719" s="76"/>
      <c r="Q719" s="77"/>
      <c r="R719" s="76"/>
      <c r="S719" s="77"/>
      <c r="T719" s="64"/>
      <c r="U719" s="45">
        <f t="shared" si="219"/>
        <v>1446.1</v>
      </c>
      <c r="V719" s="65"/>
    </row>
    <row r="720" spans="1:22" s="129" customFormat="1" ht="26.25" hidden="1">
      <c r="A720" s="145">
        <v>19</v>
      </c>
      <c r="B720" s="87">
        <v>36</v>
      </c>
      <c r="C720" s="88" t="s">
        <v>113</v>
      </c>
      <c r="D720" s="169" t="s">
        <v>1312</v>
      </c>
      <c r="E720" s="56" t="s">
        <v>1313</v>
      </c>
      <c r="F720" s="43">
        <v>16.099</v>
      </c>
      <c r="G720" s="57"/>
      <c r="H720" s="57"/>
      <c r="I720" s="58"/>
      <c r="J720" s="59">
        <f t="shared" si="216"/>
        <v>742.8502282779862</v>
      </c>
      <c r="K720" s="60">
        <v>0.9336178972540682</v>
      </c>
      <c r="L720" s="75">
        <v>1.02552893681164</v>
      </c>
      <c r="M720" s="63">
        <f t="shared" si="217"/>
        <v>11307.8</v>
      </c>
      <c r="N720" s="63">
        <f t="shared" si="218"/>
        <v>10256.2</v>
      </c>
      <c r="O720" s="62"/>
      <c r="P720" s="76"/>
      <c r="Q720" s="77"/>
      <c r="R720" s="76"/>
      <c r="S720" s="77"/>
      <c r="T720" s="64"/>
      <c r="U720" s="45">
        <f t="shared" si="219"/>
        <v>10256.2</v>
      </c>
      <c r="V720" s="65"/>
    </row>
    <row r="721" spans="1:22" s="129" customFormat="1" ht="26.25" hidden="1">
      <c r="A721" s="145">
        <v>19</v>
      </c>
      <c r="B721" s="87">
        <v>37</v>
      </c>
      <c r="C721" s="88" t="s">
        <v>113</v>
      </c>
      <c r="D721" s="169" t="s">
        <v>1314</v>
      </c>
      <c r="E721" s="56" t="s">
        <v>1315</v>
      </c>
      <c r="F721" s="43">
        <v>7.963</v>
      </c>
      <c r="G721" s="57"/>
      <c r="H721" s="57"/>
      <c r="I721" s="58"/>
      <c r="J721" s="59">
        <f t="shared" si="216"/>
        <v>742.8502282779862</v>
      </c>
      <c r="K721" s="60">
        <v>0.9336178972540682</v>
      </c>
      <c r="L721" s="75">
        <v>1.002357312371872</v>
      </c>
      <c r="M721" s="63">
        <f t="shared" si="217"/>
        <v>5529.2</v>
      </c>
      <c r="N721" s="63">
        <f t="shared" si="218"/>
        <v>5015</v>
      </c>
      <c r="O721" s="62"/>
      <c r="P721" s="76"/>
      <c r="Q721" s="77"/>
      <c r="R721" s="76"/>
      <c r="S721" s="77"/>
      <c r="T721" s="64"/>
      <c r="U721" s="45">
        <f t="shared" si="219"/>
        <v>5015</v>
      </c>
      <c r="V721" s="65"/>
    </row>
    <row r="722" spans="1:22" s="129" customFormat="1" ht="26.25" hidden="1">
      <c r="A722" s="145">
        <v>19</v>
      </c>
      <c r="B722" s="87">
        <v>38</v>
      </c>
      <c r="C722" s="88" t="s">
        <v>113</v>
      </c>
      <c r="D722" s="169" t="s">
        <v>1316</v>
      </c>
      <c r="E722" s="56" t="s">
        <v>1317</v>
      </c>
      <c r="F722" s="43">
        <v>3.515</v>
      </c>
      <c r="G722" s="57"/>
      <c r="H722" s="57"/>
      <c r="I722" s="58"/>
      <c r="J722" s="59">
        <f t="shared" si="216"/>
        <v>742.8502282779862</v>
      </c>
      <c r="K722" s="60">
        <v>0.9336178972540682</v>
      </c>
      <c r="L722" s="75">
        <v>1.020456580828283</v>
      </c>
      <c r="M722" s="63">
        <f t="shared" si="217"/>
        <v>2462.7</v>
      </c>
      <c r="N722" s="63">
        <f t="shared" si="218"/>
        <v>2233.7</v>
      </c>
      <c r="O722" s="62"/>
      <c r="P722" s="76"/>
      <c r="Q722" s="77"/>
      <c r="R722" s="76"/>
      <c r="S722" s="77"/>
      <c r="T722" s="64"/>
      <c r="U722" s="45">
        <f t="shared" si="219"/>
        <v>2233.7</v>
      </c>
      <c r="V722" s="65"/>
    </row>
    <row r="723" spans="1:22" s="129" customFormat="1" ht="26.25" hidden="1">
      <c r="A723" s="145">
        <v>19</v>
      </c>
      <c r="B723" s="87">
        <v>39</v>
      </c>
      <c r="C723" s="88" t="s">
        <v>113</v>
      </c>
      <c r="D723" s="169" t="s">
        <v>1318</v>
      </c>
      <c r="E723" s="56" t="s">
        <v>1319</v>
      </c>
      <c r="F723" s="43">
        <v>6.343</v>
      </c>
      <c r="G723" s="57"/>
      <c r="H723" s="57"/>
      <c r="I723" s="58"/>
      <c r="J723" s="59">
        <f t="shared" si="216"/>
        <v>742.8502282779862</v>
      </c>
      <c r="K723" s="60">
        <v>0.9336178972540682</v>
      </c>
      <c r="L723" s="75">
        <v>1.0164521270798375</v>
      </c>
      <c r="M723" s="63">
        <f t="shared" si="217"/>
        <v>4435.3</v>
      </c>
      <c r="N723" s="63">
        <f t="shared" si="218"/>
        <v>4022.8</v>
      </c>
      <c r="O723" s="62"/>
      <c r="P723" s="76"/>
      <c r="Q723" s="77"/>
      <c r="R723" s="76"/>
      <c r="S723" s="77"/>
      <c r="T723" s="64"/>
      <c r="U723" s="45">
        <f t="shared" si="219"/>
        <v>4022.8</v>
      </c>
      <c r="V723" s="65"/>
    </row>
    <row r="724" spans="1:22" s="129" customFormat="1" ht="26.25" hidden="1">
      <c r="A724" s="145">
        <v>19</v>
      </c>
      <c r="B724" s="87">
        <v>40</v>
      </c>
      <c r="C724" s="88" t="s">
        <v>113</v>
      </c>
      <c r="D724" s="169" t="s">
        <v>1320</v>
      </c>
      <c r="E724" s="56" t="s">
        <v>1321</v>
      </c>
      <c r="F724" s="43">
        <v>2.64</v>
      </c>
      <c r="G724" s="57"/>
      <c r="H724" s="57"/>
      <c r="I724" s="58"/>
      <c r="J724" s="59">
        <f t="shared" si="216"/>
        <v>742.8502282779862</v>
      </c>
      <c r="K724" s="60">
        <v>0.9336178972540682</v>
      </c>
      <c r="L724" s="75">
        <v>1.02552893681164</v>
      </c>
      <c r="M724" s="63">
        <f t="shared" si="217"/>
        <v>1854.3</v>
      </c>
      <c r="N724" s="63">
        <f t="shared" si="218"/>
        <v>1681.9</v>
      </c>
      <c r="O724" s="62"/>
      <c r="P724" s="76"/>
      <c r="Q724" s="77"/>
      <c r="R724" s="76"/>
      <c r="S724" s="77"/>
      <c r="T724" s="64"/>
      <c r="U724" s="45">
        <f t="shared" si="219"/>
        <v>1681.9</v>
      </c>
      <c r="V724" s="65"/>
    </row>
    <row r="725" spans="1:22" s="129" customFormat="1" ht="26.25" hidden="1">
      <c r="A725" s="145">
        <v>19</v>
      </c>
      <c r="B725" s="87">
        <v>41</v>
      </c>
      <c r="C725" s="88" t="s">
        <v>113</v>
      </c>
      <c r="D725" s="169" t="s">
        <v>1322</v>
      </c>
      <c r="E725" s="56" t="s">
        <v>1323</v>
      </c>
      <c r="F725" s="43">
        <v>19.697</v>
      </c>
      <c r="G725" s="57"/>
      <c r="H725" s="57"/>
      <c r="I725" s="58"/>
      <c r="J725" s="59">
        <f t="shared" si="216"/>
        <v>742.8502282779862</v>
      </c>
      <c r="K725" s="60">
        <v>0.9336178972540682</v>
      </c>
      <c r="L725" s="75">
        <v>1.020456580828283</v>
      </c>
      <c r="M725" s="63">
        <f t="shared" si="217"/>
        <v>13800.3</v>
      </c>
      <c r="N725" s="63">
        <f t="shared" si="218"/>
        <v>12516.9</v>
      </c>
      <c r="O725" s="62"/>
      <c r="P725" s="76"/>
      <c r="Q725" s="77"/>
      <c r="R725" s="76"/>
      <c r="S725" s="77"/>
      <c r="T725" s="64"/>
      <c r="U725" s="45">
        <f t="shared" si="219"/>
        <v>12516.9</v>
      </c>
      <c r="V725" s="65"/>
    </row>
    <row r="726" spans="1:22" s="129" customFormat="1" ht="25.5" hidden="1">
      <c r="A726" s="145">
        <v>19</v>
      </c>
      <c r="B726" s="87">
        <v>42</v>
      </c>
      <c r="C726" s="88" t="s">
        <v>113</v>
      </c>
      <c r="D726" s="169" t="s">
        <v>1324</v>
      </c>
      <c r="E726" s="90" t="s">
        <v>1325</v>
      </c>
      <c r="F726" s="43">
        <v>9.47</v>
      </c>
      <c r="G726" s="57"/>
      <c r="H726" s="57"/>
      <c r="I726" s="58"/>
      <c r="J726" s="59">
        <f t="shared" si="216"/>
        <v>742.8502282779862</v>
      </c>
      <c r="K726" s="60">
        <v>0.9336178972540682</v>
      </c>
      <c r="L726" s="75">
        <v>0.9843878595549084</v>
      </c>
      <c r="M726" s="63">
        <f t="shared" si="217"/>
        <v>6516.5</v>
      </c>
      <c r="N726" s="63">
        <f t="shared" si="218"/>
        <v>5910.5</v>
      </c>
      <c r="O726" s="62"/>
      <c r="P726" s="76"/>
      <c r="Q726" s="77"/>
      <c r="R726" s="76"/>
      <c r="S726" s="77"/>
      <c r="T726" s="64"/>
      <c r="U726" s="45">
        <f t="shared" si="219"/>
        <v>5910.5</v>
      </c>
      <c r="V726" s="65"/>
    </row>
    <row r="727" spans="1:22" s="129" customFormat="1" ht="26.25" hidden="1">
      <c r="A727" s="145">
        <v>19</v>
      </c>
      <c r="B727" s="87">
        <v>43</v>
      </c>
      <c r="C727" s="88" t="s">
        <v>113</v>
      </c>
      <c r="D727" s="169" t="s">
        <v>1326</v>
      </c>
      <c r="E727" s="56" t="s">
        <v>1327</v>
      </c>
      <c r="F727" s="43">
        <v>9.632</v>
      </c>
      <c r="G727" s="57"/>
      <c r="H727" s="57"/>
      <c r="I727" s="58"/>
      <c r="J727" s="59">
        <f t="shared" si="216"/>
        <v>742.8502282779862</v>
      </c>
      <c r="K727" s="60">
        <v>0.9336178972540682</v>
      </c>
      <c r="L727" s="75">
        <v>1.02552893681164</v>
      </c>
      <c r="M727" s="63">
        <f t="shared" si="217"/>
        <v>6765.4</v>
      </c>
      <c r="N727" s="63">
        <f t="shared" si="218"/>
        <v>6136.2</v>
      </c>
      <c r="O727" s="62"/>
      <c r="P727" s="76"/>
      <c r="Q727" s="77"/>
      <c r="R727" s="76"/>
      <c r="S727" s="77"/>
      <c r="T727" s="64"/>
      <c r="U727" s="45">
        <f t="shared" si="219"/>
        <v>6136.2</v>
      </c>
      <c r="V727" s="65"/>
    </row>
    <row r="728" spans="1:22" s="129" customFormat="1" ht="26.25" hidden="1">
      <c r="A728" s="145">
        <v>19</v>
      </c>
      <c r="B728" s="87">
        <v>44</v>
      </c>
      <c r="C728" s="88" t="s">
        <v>113</v>
      </c>
      <c r="D728" s="169" t="s">
        <v>1328</v>
      </c>
      <c r="E728" s="56" t="s">
        <v>1329</v>
      </c>
      <c r="F728" s="43">
        <v>14.473</v>
      </c>
      <c r="G728" s="57"/>
      <c r="H728" s="57"/>
      <c r="I728" s="58"/>
      <c r="J728" s="59">
        <f t="shared" si="216"/>
        <v>742.8502282779862</v>
      </c>
      <c r="K728" s="60">
        <v>0.9336178972540682</v>
      </c>
      <c r="L728" s="75">
        <v>1.020456580828283</v>
      </c>
      <c r="M728" s="63">
        <f t="shared" si="217"/>
        <v>10140.2</v>
      </c>
      <c r="N728" s="63">
        <f t="shared" si="218"/>
        <v>9197.2</v>
      </c>
      <c r="O728" s="62"/>
      <c r="P728" s="76"/>
      <c r="Q728" s="77"/>
      <c r="R728" s="76"/>
      <c r="S728" s="77"/>
      <c r="T728" s="64"/>
      <c r="U728" s="45">
        <f t="shared" si="219"/>
        <v>9197.2</v>
      </c>
      <c r="V728" s="65"/>
    </row>
    <row r="729" spans="1:22" s="129" customFormat="1" ht="26.25" hidden="1">
      <c r="A729" s="145">
        <v>19</v>
      </c>
      <c r="B729" s="87">
        <v>45</v>
      </c>
      <c r="C729" s="88" t="s">
        <v>113</v>
      </c>
      <c r="D729" s="169" t="s">
        <v>1330</v>
      </c>
      <c r="E729" s="56" t="s">
        <v>1331</v>
      </c>
      <c r="F729" s="43">
        <v>4.009</v>
      </c>
      <c r="G729" s="57"/>
      <c r="H729" s="57"/>
      <c r="I729" s="58"/>
      <c r="J729" s="59">
        <f t="shared" si="216"/>
        <v>742.8502282779862</v>
      </c>
      <c r="K729" s="60">
        <v>0.9336178972540682</v>
      </c>
      <c r="L729" s="75">
        <v>1.020456580828283</v>
      </c>
      <c r="M729" s="63">
        <f t="shared" si="217"/>
        <v>2808.8</v>
      </c>
      <c r="N729" s="63">
        <f t="shared" si="218"/>
        <v>2547.6</v>
      </c>
      <c r="O729" s="62"/>
      <c r="P729" s="76"/>
      <c r="Q729" s="77"/>
      <c r="R729" s="76"/>
      <c r="S729" s="77"/>
      <c r="T729" s="64"/>
      <c r="U729" s="45">
        <f t="shared" si="219"/>
        <v>2547.6</v>
      </c>
      <c r="V729" s="65"/>
    </row>
    <row r="730" spans="1:22" s="129" customFormat="1" ht="26.25" hidden="1">
      <c r="A730" s="145">
        <v>19</v>
      </c>
      <c r="B730" s="87">
        <v>46</v>
      </c>
      <c r="C730" s="88" t="s">
        <v>113</v>
      </c>
      <c r="D730" s="169" t="s">
        <v>1332</v>
      </c>
      <c r="E730" s="56" t="s">
        <v>1333</v>
      </c>
      <c r="F730" s="43">
        <v>30.549</v>
      </c>
      <c r="G730" s="57"/>
      <c r="H730" s="57"/>
      <c r="I730" s="58"/>
      <c r="J730" s="59">
        <f t="shared" si="216"/>
        <v>742.8502282779862</v>
      </c>
      <c r="K730" s="60">
        <v>0.9336178972540682</v>
      </c>
      <c r="L730" s="75">
        <v>1.002357312371872</v>
      </c>
      <c r="M730" s="63">
        <f t="shared" si="217"/>
        <v>21211.9</v>
      </c>
      <c r="N730" s="63">
        <f t="shared" si="218"/>
        <v>19239.2</v>
      </c>
      <c r="O730" s="62"/>
      <c r="P730" s="76"/>
      <c r="Q730" s="77"/>
      <c r="R730" s="76"/>
      <c r="S730" s="77"/>
      <c r="T730" s="64"/>
      <c r="U730" s="45">
        <f t="shared" si="219"/>
        <v>19239.2</v>
      </c>
      <c r="V730" s="65"/>
    </row>
    <row r="731" spans="1:22" s="129" customFormat="1" ht="26.25" hidden="1">
      <c r="A731" s="145">
        <v>19</v>
      </c>
      <c r="B731" s="87">
        <v>47</v>
      </c>
      <c r="C731" s="88" t="s">
        <v>113</v>
      </c>
      <c r="D731" s="169" t="s">
        <v>1334</v>
      </c>
      <c r="E731" s="56" t="s">
        <v>1335</v>
      </c>
      <c r="F731" s="43">
        <v>21.176</v>
      </c>
      <c r="G731" s="57"/>
      <c r="H731" s="57"/>
      <c r="I731" s="58"/>
      <c r="J731" s="59">
        <f t="shared" si="216"/>
        <v>742.8502282779862</v>
      </c>
      <c r="K731" s="60">
        <v>0.9336178972540682</v>
      </c>
      <c r="L731" s="75">
        <v>1.003408753097848</v>
      </c>
      <c r="M731" s="63">
        <f t="shared" si="217"/>
        <v>14711.4</v>
      </c>
      <c r="N731" s="63">
        <f t="shared" si="218"/>
        <v>13343.2</v>
      </c>
      <c r="O731" s="62"/>
      <c r="P731" s="76"/>
      <c r="Q731" s="77"/>
      <c r="R731" s="76"/>
      <c r="S731" s="77"/>
      <c r="T731" s="64"/>
      <c r="U731" s="45">
        <f t="shared" si="219"/>
        <v>13343.2</v>
      </c>
      <c r="V731" s="65"/>
    </row>
    <row r="732" spans="1:22" s="91" customFormat="1" ht="25.5" hidden="1">
      <c r="A732" s="170">
        <v>20</v>
      </c>
      <c r="B732" s="167" t="s">
        <v>26</v>
      </c>
      <c r="C732" s="40" t="s">
        <v>27</v>
      </c>
      <c r="D732" s="55"/>
      <c r="E732" s="168" t="s">
        <v>1336</v>
      </c>
      <c r="F732" s="43">
        <f>F733+F734+F742+F770</f>
        <v>2718.6159999999995</v>
      </c>
      <c r="G732" s="44">
        <f>+G733++G734+G742</f>
        <v>0</v>
      </c>
      <c r="H732" s="44">
        <f>+H733++H734+H742</f>
        <v>0</v>
      </c>
      <c r="I732" s="45"/>
      <c r="J732" s="46"/>
      <c r="K732" s="47"/>
      <c r="L732" s="48">
        <v>1.0100083120480912</v>
      </c>
      <c r="M732" s="49">
        <f aca="true" t="shared" si="220" ref="M732:U732">+M733++M734+M742+M770</f>
        <v>3090998.1</v>
      </c>
      <c r="N732" s="49">
        <f t="shared" si="220"/>
        <v>3090998.1000000006</v>
      </c>
      <c r="O732" s="49">
        <f t="shared" si="220"/>
        <v>0</v>
      </c>
      <c r="P732" s="49">
        <f t="shared" si="220"/>
        <v>947.3</v>
      </c>
      <c r="Q732" s="49">
        <f t="shared" si="220"/>
        <v>49314.1</v>
      </c>
      <c r="R732" s="49">
        <f t="shared" si="220"/>
        <v>43200.4</v>
      </c>
      <c r="S732" s="49">
        <f t="shared" si="220"/>
        <v>534.5</v>
      </c>
      <c r="T732" s="49">
        <f t="shared" si="220"/>
        <v>0</v>
      </c>
      <c r="U732" s="49">
        <f t="shared" si="220"/>
        <v>3184994.4000000004</v>
      </c>
      <c r="V732" s="197"/>
    </row>
    <row r="733" spans="1:22" s="155" customFormat="1" ht="12.75" hidden="1">
      <c r="A733" s="52">
        <v>20</v>
      </c>
      <c r="B733" s="53" t="s">
        <v>26</v>
      </c>
      <c r="C733" s="54" t="s">
        <v>29</v>
      </c>
      <c r="D733" s="55" t="s">
        <v>1337</v>
      </c>
      <c r="E733" s="56" t="s">
        <v>31</v>
      </c>
      <c r="F733" s="43">
        <v>0</v>
      </c>
      <c r="G733" s="128"/>
      <c r="H733" s="128"/>
      <c r="I733" s="58"/>
      <c r="J733" s="59">
        <f>+($F$7-$O$952-$Q$952-$P$952-R$952-$S$952)/$F$952*0.354*0.951</f>
        <v>376.76602120660414</v>
      </c>
      <c r="K733" s="60">
        <v>0</v>
      </c>
      <c r="L733" s="48">
        <v>1.0100083120480912</v>
      </c>
      <c r="M733" s="49">
        <f>ROUND(J733*(F734+F742+F770)*(0.5+0.5*L733),1)</f>
        <v>1029407.8</v>
      </c>
      <c r="N733" s="49">
        <f>M733+ROUND(SUM(M735:M741)*0.117+SUM(M743:M769)*0.093+SUM(M771)*0.093,1)</f>
        <v>1253549</v>
      </c>
      <c r="O733" s="61"/>
      <c r="P733" s="62">
        <v>947.3</v>
      </c>
      <c r="Q733" s="63">
        <v>49314.1</v>
      </c>
      <c r="R733" s="62">
        <v>43200.4</v>
      </c>
      <c r="S733" s="63">
        <v>534.5</v>
      </c>
      <c r="T733" s="64"/>
      <c r="U733" s="45">
        <f>N733+O733+P733+Q733+R733+S733+T733</f>
        <v>1347545.3</v>
      </c>
      <c r="V733" s="65"/>
    </row>
    <row r="734" spans="1:22" ht="13.5" hidden="1">
      <c r="A734" s="38">
        <v>20</v>
      </c>
      <c r="B734" s="39" t="s">
        <v>26</v>
      </c>
      <c r="C734" s="40" t="s">
        <v>33</v>
      </c>
      <c r="D734" s="55"/>
      <c r="E734" s="79" t="s">
        <v>34</v>
      </c>
      <c r="F734" s="43">
        <f>SUM(F735:F741)</f>
        <v>1710.258</v>
      </c>
      <c r="G734" s="67">
        <f>SUM(G735:G741)</f>
        <v>0</v>
      </c>
      <c r="H734" s="68">
        <f>SUM(H735:H741)</f>
        <v>0</v>
      </c>
      <c r="I734" s="69"/>
      <c r="J734" s="59"/>
      <c r="K734" s="70"/>
      <c r="L734" s="71">
        <v>0.9959530837453284</v>
      </c>
      <c r="M734" s="72">
        <f aca="true" t="shared" si="221" ref="M734:U734">SUM(M735:M741)</f>
        <v>1350553.4999999998</v>
      </c>
      <c r="N734" s="72">
        <f t="shared" si="221"/>
        <v>1192538.8000000003</v>
      </c>
      <c r="O734" s="72">
        <f t="shared" si="221"/>
        <v>0</v>
      </c>
      <c r="P734" s="72">
        <f t="shared" si="221"/>
        <v>0</v>
      </c>
      <c r="Q734" s="72">
        <f t="shared" si="221"/>
        <v>0</v>
      </c>
      <c r="R734" s="72">
        <f t="shared" si="221"/>
        <v>0</v>
      </c>
      <c r="S734" s="72">
        <f t="shared" si="221"/>
        <v>0</v>
      </c>
      <c r="T734" s="72">
        <f t="shared" si="221"/>
        <v>26645.3</v>
      </c>
      <c r="U734" s="72">
        <f t="shared" si="221"/>
        <v>1219184.1</v>
      </c>
      <c r="V734" s="73"/>
    </row>
    <row r="735" spans="1:22" ht="12.75" hidden="1">
      <c r="A735" s="52">
        <v>20</v>
      </c>
      <c r="B735" s="53" t="s">
        <v>35</v>
      </c>
      <c r="C735" s="54" t="s">
        <v>36</v>
      </c>
      <c r="D735" s="55" t="s">
        <v>1338</v>
      </c>
      <c r="E735" s="74" t="s">
        <v>1339</v>
      </c>
      <c r="F735" s="43">
        <v>1449.732</v>
      </c>
      <c r="G735" s="162"/>
      <c r="H735" s="162"/>
      <c r="I735" s="58"/>
      <c r="J735" s="59">
        <f aca="true" t="shared" si="222" ref="J735:J741">+($F$7-$O$952-$Q$952-$P$952-$R$952-$S$952)/($F$952-$G$952*1-$H$952*0.5)*0.646*1.0268514</f>
        <v>742.8502282779862</v>
      </c>
      <c r="K735" s="60">
        <v>1.065228053001168</v>
      </c>
      <c r="L735" s="75">
        <v>0.9915040719208289</v>
      </c>
      <c r="M735" s="63">
        <f aca="true" t="shared" si="223" ref="M735:M741">ROUND(J735*(F735-G735-H735*I735)*K735*(0.5+0.5*L735),1)</f>
        <v>1142306.9</v>
      </c>
      <c r="N735" s="63">
        <f aca="true" t="shared" si="224" ref="N735:N741">ROUND(M735*0.883,1)</f>
        <v>1008657</v>
      </c>
      <c r="O735" s="62"/>
      <c r="P735" s="76"/>
      <c r="Q735" s="77"/>
      <c r="R735" s="76"/>
      <c r="S735" s="77"/>
      <c r="T735" s="64"/>
      <c r="U735" s="45">
        <f aca="true" t="shared" si="225" ref="U735:U741">+N735+O735+T735+R735+S735+Q735</f>
        <v>1008657</v>
      </c>
      <c r="V735" s="65"/>
    </row>
    <row r="736" spans="1:22" ht="12.75" hidden="1">
      <c r="A736" s="52">
        <v>20</v>
      </c>
      <c r="B736" s="53" t="s">
        <v>32</v>
      </c>
      <c r="C736" s="54" t="s">
        <v>36</v>
      </c>
      <c r="D736" s="55" t="s">
        <v>1340</v>
      </c>
      <c r="E736" s="78" t="s">
        <v>1341</v>
      </c>
      <c r="F736" s="43">
        <v>49.727</v>
      </c>
      <c r="G736" s="57"/>
      <c r="H736" s="57"/>
      <c r="I736" s="58"/>
      <c r="J736" s="59">
        <f t="shared" si="222"/>
        <v>742.8502282779862</v>
      </c>
      <c r="K736" s="60">
        <v>1.065228053001168</v>
      </c>
      <c r="L736" s="75">
        <v>1.0493296846420703</v>
      </c>
      <c r="M736" s="63">
        <f t="shared" si="223"/>
        <v>40319.8</v>
      </c>
      <c r="N736" s="63">
        <f t="shared" si="224"/>
        <v>35602.4</v>
      </c>
      <c r="O736" s="62"/>
      <c r="P736" s="76"/>
      <c r="Q736" s="77"/>
      <c r="R736" s="76"/>
      <c r="S736" s="77"/>
      <c r="T736" s="64"/>
      <c r="U736" s="45">
        <f t="shared" si="225"/>
        <v>35602.4</v>
      </c>
      <c r="V736" s="65"/>
    </row>
    <row r="737" spans="1:22" ht="12.75" hidden="1">
      <c r="A737" s="52">
        <v>20</v>
      </c>
      <c r="B737" s="53" t="s">
        <v>118</v>
      </c>
      <c r="C737" s="54" t="s">
        <v>36</v>
      </c>
      <c r="D737" s="55" t="s">
        <v>1342</v>
      </c>
      <c r="E737" s="78" t="s">
        <v>1343</v>
      </c>
      <c r="F737" s="43">
        <v>56.615</v>
      </c>
      <c r="G737" s="57"/>
      <c r="H737" s="57"/>
      <c r="I737" s="58"/>
      <c r="J737" s="59">
        <f t="shared" si="222"/>
        <v>742.8502282779862</v>
      </c>
      <c r="K737" s="60">
        <v>1.065228053001168</v>
      </c>
      <c r="L737" s="75">
        <v>1.016258451744357</v>
      </c>
      <c r="M737" s="63">
        <f t="shared" si="223"/>
        <v>45163.9</v>
      </c>
      <c r="N737" s="63">
        <f t="shared" si="224"/>
        <v>39879.7</v>
      </c>
      <c r="O737" s="62"/>
      <c r="P737" s="76"/>
      <c r="Q737" s="77"/>
      <c r="R737" s="76"/>
      <c r="S737" s="77"/>
      <c r="T737" s="64">
        <f>ROUND(N761,1)</f>
        <v>16150.8</v>
      </c>
      <c r="U737" s="45">
        <f t="shared" si="225"/>
        <v>56030.5</v>
      </c>
      <c r="V737" s="65"/>
    </row>
    <row r="738" spans="1:22" ht="12.75" hidden="1">
      <c r="A738" s="52">
        <v>20</v>
      </c>
      <c r="B738" s="53" t="s">
        <v>127</v>
      </c>
      <c r="C738" s="54" t="s">
        <v>36</v>
      </c>
      <c r="D738" s="55" t="s">
        <v>1344</v>
      </c>
      <c r="E738" s="78" t="s">
        <v>1345</v>
      </c>
      <c r="F738" s="43">
        <v>65.873</v>
      </c>
      <c r="G738" s="57"/>
      <c r="H738" s="57"/>
      <c r="I738" s="58"/>
      <c r="J738" s="59">
        <f t="shared" si="222"/>
        <v>742.8502282779862</v>
      </c>
      <c r="K738" s="60">
        <v>1.065228053001168</v>
      </c>
      <c r="L738" s="75">
        <v>1.0190247003616424</v>
      </c>
      <c r="M738" s="63">
        <f t="shared" si="223"/>
        <v>52621.5</v>
      </c>
      <c r="N738" s="63">
        <f t="shared" si="224"/>
        <v>46464.8</v>
      </c>
      <c r="O738" s="62"/>
      <c r="P738" s="76"/>
      <c r="Q738" s="77"/>
      <c r="R738" s="76"/>
      <c r="S738" s="77"/>
      <c r="T738" s="64"/>
      <c r="U738" s="45">
        <f t="shared" si="225"/>
        <v>46464.8</v>
      </c>
      <c r="V738" s="65"/>
    </row>
    <row r="739" spans="1:22" s="82" customFormat="1" ht="13.5" hidden="1">
      <c r="A739" s="52">
        <v>20</v>
      </c>
      <c r="B739" s="53" t="s">
        <v>51</v>
      </c>
      <c r="C739" s="54" t="s">
        <v>36</v>
      </c>
      <c r="D739" s="55" t="s">
        <v>1346</v>
      </c>
      <c r="E739" s="78" t="s">
        <v>1347</v>
      </c>
      <c r="F739" s="43">
        <v>24.457</v>
      </c>
      <c r="G739" s="57"/>
      <c r="H739" s="57"/>
      <c r="I739" s="58"/>
      <c r="J739" s="59">
        <f t="shared" si="222"/>
        <v>742.8502282779862</v>
      </c>
      <c r="K739" s="60">
        <v>1.065228053001168</v>
      </c>
      <c r="L739" s="75">
        <v>1.036823408126839</v>
      </c>
      <c r="M739" s="63">
        <f t="shared" si="223"/>
        <v>19709.3</v>
      </c>
      <c r="N739" s="63">
        <f t="shared" si="224"/>
        <v>17403.3</v>
      </c>
      <c r="O739" s="62"/>
      <c r="P739" s="76"/>
      <c r="Q739" s="77"/>
      <c r="R739" s="76"/>
      <c r="S739" s="77"/>
      <c r="T739" s="64"/>
      <c r="U739" s="45">
        <f t="shared" si="225"/>
        <v>17403.3</v>
      </c>
      <c r="V739" s="65"/>
    </row>
    <row r="740" spans="1:22" s="129" customFormat="1" ht="12.75" hidden="1">
      <c r="A740" s="52">
        <v>20</v>
      </c>
      <c r="B740" s="53" t="s">
        <v>55</v>
      </c>
      <c r="C740" s="54" t="s">
        <v>36</v>
      </c>
      <c r="D740" s="55" t="s">
        <v>1348</v>
      </c>
      <c r="E740" s="78" t="s">
        <v>1349</v>
      </c>
      <c r="F740" s="43">
        <v>30.591</v>
      </c>
      <c r="G740" s="57"/>
      <c r="H740" s="57"/>
      <c r="I740" s="58"/>
      <c r="J740" s="59">
        <f t="shared" si="222"/>
        <v>742.8502282779862</v>
      </c>
      <c r="K740" s="60">
        <v>1.065228053001168</v>
      </c>
      <c r="L740" s="75">
        <v>1.0072371153921886</v>
      </c>
      <c r="M740" s="63">
        <f t="shared" si="223"/>
        <v>24294.4</v>
      </c>
      <c r="N740" s="63">
        <f t="shared" si="224"/>
        <v>21452</v>
      </c>
      <c r="O740" s="62"/>
      <c r="P740" s="76"/>
      <c r="Q740" s="77"/>
      <c r="R740" s="76"/>
      <c r="S740" s="77"/>
      <c r="T740" s="64">
        <f>ROUND(N764,1)</f>
        <v>10494.5</v>
      </c>
      <c r="U740" s="45">
        <f t="shared" si="225"/>
        <v>31946.5</v>
      </c>
      <c r="V740" s="65"/>
    </row>
    <row r="741" spans="1:22" ht="12.75" hidden="1">
      <c r="A741" s="52">
        <v>20</v>
      </c>
      <c r="B741" s="53" t="s">
        <v>58</v>
      </c>
      <c r="C741" s="54" t="s">
        <v>36</v>
      </c>
      <c r="D741" s="55" t="s">
        <v>1350</v>
      </c>
      <c r="E741" s="78" t="s">
        <v>1351</v>
      </c>
      <c r="F741" s="43">
        <v>33.263</v>
      </c>
      <c r="G741" s="57"/>
      <c r="H741" s="57"/>
      <c r="I741" s="58"/>
      <c r="J741" s="59">
        <f t="shared" si="222"/>
        <v>742.8502282779862</v>
      </c>
      <c r="K741" s="60">
        <v>1.065228053001168</v>
      </c>
      <c r="L741" s="75">
        <v>0.9860573087146352</v>
      </c>
      <c r="M741" s="63">
        <f t="shared" si="223"/>
        <v>26137.7</v>
      </c>
      <c r="N741" s="63">
        <f t="shared" si="224"/>
        <v>23079.6</v>
      </c>
      <c r="O741" s="62"/>
      <c r="P741" s="76"/>
      <c r="Q741" s="77"/>
      <c r="R741" s="76"/>
      <c r="S741" s="77"/>
      <c r="T741" s="64"/>
      <c r="U741" s="45">
        <f t="shared" si="225"/>
        <v>23079.6</v>
      </c>
      <c r="V741" s="65"/>
    </row>
    <row r="742" spans="1:22" ht="13.5" hidden="1">
      <c r="A742" s="38">
        <v>20</v>
      </c>
      <c r="B742" s="39" t="s">
        <v>26</v>
      </c>
      <c r="C742" s="40" t="s">
        <v>49</v>
      </c>
      <c r="D742" s="55"/>
      <c r="E742" s="79" t="s">
        <v>50</v>
      </c>
      <c r="F742" s="43">
        <f>SUM(F743:F769)</f>
        <v>1000.2359999999998</v>
      </c>
      <c r="G742" s="67">
        <f>SUM(G743:G769)</f>
        <v>0</v>
      </c>
      <c r="H742" s="68">
        <f>SUM(H743:H769)</f>
        <v>0</v>
      </c>
      <c r="I742" s="69"/>
      <c r="J742" s="80"/>
      <c r="K742" s="70"/>
      <c r="L742" s="71">
        <v>1.03351293520819</v>
      </c>
      <c r="M742" s="72">
        <f aca="true" t="shared" si="226" ref="M742:U742">SUM(M743:M769)</f>
        <v>705283.1000000001</v>
      </c>
      <c r="N742" s="72">
        <f t="shared" si="226"/>
        <v>639691.7000000001</v>
      </c>
      <c r="O742" s="72">
        <f t="shared" si="226"/>
        <v>0</v>
      </c>
      <c r="P742" s="72">
        <f t="shared" si="226"/>
        <v>0</v>
      </c>
      <c r="Q742" s="72">
        <f t="shared" si="226"/>
        <v>0</v>
      </c>
      <c r="R742" s="72">
        <f t="shared" si="226"/>
        <v>0</v>
      </c>
      <c r="S742" s="72">
        <f t="shared" si="226"/>
        <v>0</v>
      </c>
      <c r="T742" s="72">
        <f t="shared" si="226"/>
        <v>-26645.3</v>
      </c>
      <c r="U742" s="72">
        <f t="shared" si="226"/>
        <v>613046.4</v>
      </c>
      <c r="V742" s="73"/>
    </row>
    <row r="743" spans="1:22" ht="12.75" hidden="1">
      <c r="A743" s="52">
        <v>20</v>
      </c>
      <c r="B743" s="53" t="s">
        <v>61</v>
      </c>
      <c r="C743" s="54" t="s">
        <v>52</v>
      </c>
      <c r="D743" s="55" t="s">
        <v>1352</v>
      </c>
      <c r="E743" s="56" t="s">
        <v>1353</v>
      </c>
      <c r="F743" s="43">
        <v>81.922</v>
      </c>
      <c r="G743" s="128"/>
      <c r="H743" s="128"/>
      <c r="I743" s="58"/>
      <c r="J743" s="59">
        <f aca="true" t="shared" si="227" ref="J743:J769">+($F$7-$O$952-$Q$952-$P$952-$R$952-$S$952)/($F$952-$G$952*1-$H$952*0.5)*0.646*1.0268514</f>
        <v>742.8502282779862</v>
      </c>
      <c r="K743" s="60">
        <v>0.9336178972540682</v>
      </c>
      <c r="L743" s="75">
        <v>1.0287606198593395</v>
      </c>
      <c r="M743" s="63">
        <f aca="true" t="shared" si="228" ref="M743:M769">ROUND(J743*(F743-G743-H743*I743)*K743*(0.5+0.5*L743),1)</f>
        <v>57633.1</v>
      </c>
      <c r="N743" s="63">
        <f aca="true" t="shared" si="229" ref="N743:N769">ROUND(M743*0.907,1)</f>
        <v>52273.2</v>
      </c>
      <c r="O743" s="62"/>
      <c r="P743" s="76"/>
      <c r="Q743" s="77"/>
      <c r="R743" s="76"/>
      <c r="S743" s="77"/>
      <c r="T743" s="64"/>
      <c r="U743" s="45">
        <f aca="true" t="shared" si="230" ref="U743:U769">+N743+O743+T743+R743+S743+Q743</f>
        <v>52273.2</v>
      </c>
      <c r="V743" s="65"/>
    </row>
    <row r="744" spans="1:22" ht="12.75" hidden="1">
      <c r="A744" s="52">
        <v>20</v>
      </c>
      <c r="B744" s="53" t="s">
        <v>64</v>
      </c>
      <c r="C744" s="54" t="s">
        <v>52</v>
      </c>
      <c r="D744" s="55" t="s">
        <v>1354</v>
      </c>
      <c r="E744" s="56" t="s">
        <v>1355</v>
      </c>
      <c r="F744" s="43">
        <v>21.817</v>
      </c>
      <c r="G744" s="57"/>
      <c r="H744" s="128"/>
      <c r="I744" s="58"/>
      <c r="J744" s="59">
        <f t="shared" si="227"/>
        <v>742.8502282779862</v>
      </c>
      <c r="K744" s="60">
        <v>0.9336178972540682</v>
      </c>
      <c r="L744" s="75">
        <v>1.0707057990682811</v>
      </c>
      <c r="M744" s="63">
        <f t="shared" si="228"/>
        <v>15665.8</v>
      </c>
      <c r="N744" s="63">
        <f t="shared" si="229"/>
        <v>14208.9</v>
      </c>
      <c r="O744" s="62"/>
      <c r="P744" s="76"/>
      <c r="Q744" s="77"/>
      <c r="R744" s="76"/>
      <c r="S744" s="77"/>
      <c r="T744" s="64"/>
      <c r="U744" s="45">
        <f t="shared" si="230"/>
        <v>14208.9</v>
      </c>
      <c r="V744" s="65"/>
    </row>
    <row r="745" spans="1:22" ht="12.75" hidden="1">
      <c r="A745" s="52">
        <v>20</v>
      </c>
      <c r="B745" s="53">
        <v>10</v>
      </c>
      <c r="C745" s="54" t="s">
        <v>52</v>
      </c>
      <c r="D745" s="55" t="s">
        <v>1356</v>
      </c>
      <c r="E745" s="56" t="s">
        <v>1357</v>
      </c>
      <c r="F745" s="43">
        <v>19.084</v>
      </c>
      <c r="G745" s="57"/>
      <c r="H745" s="57"/>
      <c r="I745" s="58"/>
      <c r="J745" s="59">
        <f t="shared" si="227"/>
        <v>742.8502282779862</v>
      </c>
      <c r="K745" s="60">
        <v>0.9336178972540682</v>
      </c>
      <c r="L745" s="75">
        <v>1.0512224060006</v>
      </c>
      <c r="M745" s="63">
        <f t="shared" si="228"/>
        <v>13574.5</v>
      </c>
      <c r="N745" s="63">
        <f t="shared" si="229"/>
        <v>12312.1</v>
      </c>
      <c r="O745" s="62"/>
      <c r="P745" s="76"/>
      <c r="Q745" s="77"/>
      <c r="R745" s="76"/>
      <c r="S745" s="77"/>
      <c r="T745" s="64"/>
      <c r="U745" s="45">
        <f t="shared" si="230"/>
        <v>12312.1</v>
      </c>
      <c r="V745" s="65"/>
    </row>
    <row r="746" spans="1:22" ht="12.75" hidden="1">
      <c r="A746" s="52">
        <v>20</v>
      </c>
      <c r="B746" s="53">
        <v>11</v>
      </c>
      <c r="C746" s="54" t="s">
        <v>52</v>
      </c>
      <c r="D746" s="55" t="s">
        <v>1358</v>
      </c>
      <c r="E746" s="56" t="s">
        <v>1359</v>
      </c>
      <c r="F746" s="43">
        <v>39.048</v>
      </c>
      <c r="G746" s="57"/>
      <c r="H746" s="57"/>
      <c r="I746" s="58"/>
      <c r="J746" s="59">
        <f t="shared" si="227"/>
        <v>742.8502282779862</v>
      </c>
      <c r="K746" s="60">
        <v>0.9336178972540682</v>
      </c>
      <c r="L746" s="75">
        <v>1.026719699198332</v>
      </c>
      <c r="M746" s="63">
        <f t="shared" si="228"/>
        <v>27443.1</v>
      </c>
      <c r="N746" s="63">
        <f t="shared" si="229"/>
        <v>24890.9</v>
      </c>
      <c r="O746" s="62"/>
      <c r="P746" s="76"/>
      <c r="Q746" s="77"/>
      <c r="R746" s="76"/>
      <c r="S746" s="77"/>
      <c r="T746" s="64"/>
      <c r="U746" s="45">
        <f t="shared" si="230"/>
        <v>24890.9</v>
      </c>
      <c r="V746" s="65"/>
    </row>
    <row r="747" spans="1:22" ht="12.75" hidden="1">
      <c r="A747" s="52">
        <v>20</v>
      </c>
      <c r="B747" s="53">
        <v>12</v>
      </c>
      <c r="C747" s="54" t="s">
        <v>52</v>
      </c>
      <c r="D747" s="55" t="s">
        <v>1360</v>
      </c>
      <c r="E747" s="56" t="s">
        <v>1361</v>
      </c>
      <c r="F747" s="43">
        <v>16.901</v>
      </c>
      <c r="G747" s="57"/>
      <c r="H747" s="57"/>
      <c r="I747" s="58"/>
      <c r="J747" s="59">
        <f t="shared" si="227"/>
        <v>742.8502282779862</v>
      </c>
      <c r="K747" s="60">
        <v>0.9336178972540682</v>
      </c>
      <c r="L747" s="75">
        <v>1.0411409661682103</v>
      </c>
      <c r="M747" s="63">
        <f t="shared" si="228"/>
        <v>11962.6</v>
      </c>
      <c r="N747" s="63">
        <f t="shared" si="229"/>
        <v>10850.1</v>
      </c>
      <c r="O747" s="62"/>
      <c r="P747" s="76"/>
      <c r="Q747" s="77"/>
      <c r="R747" s="76"/>
      <c r="S747" s="77"/>
      <c r="T747" s="64"/>
      <c r="U747" s="45">
        <f t="shared" si="230"/>
        <v>10850.1</v>
      </c>
      <c r="V747" s="65"/>
    </row>
    <row r="748" spans="1:22" ht="12.75" hidden="1">
      <c r="A748" s="52">
        <v>20</v>
      </c>
      <c r="B748" s="53">
        <v>13</v>
      </c>
      <c r="C748" s="54" t="s">
        <v>52</v>
      </c>
      <c r="D748" s="55" t="s">
        <v>1362</v>
      </c>
      <c r="E748" s="56" t="s">
        <v>1363</v>
      </c>
      <c r="F748" s="43">
        <v>31.885</v>
      </c>
      <c r="G748" s="57"/>
      <c r="H748" s="57"/>
      <c r="I748" s="58"/>
      <c r="J748" s="59">
        <f t="shared" si="227"/>
        <v>742.8502282779862</v>
      </c>
      <c r="K748" s="60">
        <v>0.9336178972540682</v>
      </c>
      <c r="L748" s="75">
        <v>1.0448360797243215</v>
      </c>
      <c r="M748" s="63">
        <f t="shared" si="228"/>
        <v>22609.2</v>
      </c>
      <c r="N748" s="63">
        <f t="shared" si="229"/>
        <v>20506.5</v>
      </c>
      <c r="O748" s="62"/>
      <c r="P748" s="76"/>
      <c r="Q748" s="77"/>
      <c r="R748" s="76"/>
      <c r="S748" s="77"/>
      <c r="T748" s="64"/>
      <c r="U748" s="45">
        <f t="shared" si="230"/>
        <v>20506.5</v>
      </c>
      <c r="V748" s="65"/>
    </row>
    <row r="749" spans="1:22" ht="12.75" hidden="1">
      <c r="A749" s="52">
        <v>20</v>
      </c>
      <c r="B749" s="53">
        <v>14</v>
      </c>
      <c r="C749" s="54" t="s">
        <v>52</v>
      </c>
      <c r="D749" s="55" t="s">
        <v>1364</v>
      </c>
      <c r="E749" s="56" t="s">
        <v>1365</v>
      </c>
      <c r="F749" s="43">
        <v>22.523</v>
      </c>
      <c r="G749" s="57"/>
      <c r="H749" s="57"/>
      <c r="I749" s="58"/>
      <c r="J749" s="59">
        <f t="shared" si="227"/>
        <v>742.8502282779862</v>
      </c>
      <c r="K749" s="60">
        <v>0.9336178972540682</v>
      </c>
      <c r="L749" s="75">
        <v>1.0219137943495658</v>
      </c>
      <c r="M749" s="63">
        <f t="shared" si="228"/>
        <v>15791.7</v>
      </c>
      <c r="N749" s="63">
        <f t="shared" si="229"/>
        <v>14323.1</v>
      </c>
      <c r="O749" s="62"/>
      <c r="P749" s="76"/>
      <c r="Q749" s="77"/>
      <c r="R749" s="76"/>
      <c r="S749" s="77"/>
      <c r="T749" s="64"/>
      <c r="U749" s="45">
        <f t="shared" si="230"/>
        <v>14323.1</v>
      </c>
      <c r="V749" s="65"/>
    </row>
    <row r="750" spans="1:22" ht="12.75" hidden="1">
      <c r="A750" s="52">
        <v>20</v>
      </c>
      <c r="B750" s="53">
        <v>15</v>
      </c>
      <c r="C750" s="54" t="s">
        <v>52</v>
      </c>
      <c r="D750" s="55" t="s">
        <v>1366</v>
      </c>
      <c r="E750" s="56" t="s">
        <v>1367</v>
      </c>
      <c r="F750" s="43">
        <v>38.962</v>
      </c>
      <c r="G750" s="57"/>
      <c r="H750" s="57"/>
      <c r="I750" s="58"/>
      <c r="J750" s="59">
        <f t="shared" si="227"/>
        <v>742.8502282779862</v>
      </c>
      <c r="K750" s="60">
        <v>0.9336178972540682</v>
      </c>
      <c r="L750" s="75">
        <v>1.042892796912551</v>
      </c>
      <c r="M750" s="63">
        <f t="shared" si="228"/>
        <v>27601.2</v>
      </c>
      <c r="N750" s="63">
        <f t="shared" si="229"/>
        <v>25034.3</v>
      </c>
      <c r="O750" s="62"/>
      <c r="P750" s="76"/>
      <c r="Q750" s="77"/>
      <c r="R750" s="76"/>
      <c r="S750" s="77"/>
      <c r="T750" s="64"/>
      <c r="U750" s="45">
        <f t="shared" si="230"/>
        <v>25034.3</v>
      </c>
      <c r="V750" s="65"/>
    </row>
    <row r="751" spans="1:22" ht="12.75" hidden="1">
      <c r="A751" s="52">
        <v>20</v>
      </c>
      <c r="B751" s="53">
        <v>16</v>
      </c>
      <c r="C751" s="54" t="s">
        <v>52</v>
      </c>
      <c r="D751" s="55" t="s">
        <v>1368</v>
      </c>
      <c r="E751" s="56" t="s">
        <v>1369</v>
      </c>
      <c r="F751" s="43">
        <v>17.724</v>
      </c>
      <c r="G751" s="57"/>
      <c r="H751" s="57"/>
      <c r="I751" s="58"/>
      <c r="J751" s="59">
        <f t="shared" si="227"/>
        <v>742.8502282779862</v>
      </c>
      <c r="K751" s="60">
        <v>0.9336178972540682</v>
      </c>
      <c r="L751" s="75">
        <v>1.0464926694850287</v>
      </c>
      <c r="M751" s="63">
        <f t="shared" si="228"/>
        <v>12578</v>
      </c>
      <c r="N751" s="63">
        <f t="shared" si="229"/>
        <v>11408.2</v>
      </c>
      <c r="O751" s="62"/>
      <c r="P751" s="76"/>
      <c r="Q751" s="77"/>
      <c r="R751" s="76"/>
      <c r="S751" s="77"/>
      <c r="T751" s="64"/>
      <c r="U751" s="45">
        <f t="shared" si="230"/>
        <v>11408.2</v>
      </c>
      <c r="V751" s="65"/>
    </row>
    <row r="752" spans="1:22" ht="12.75" hidden="1">
      <c r="A752" s="52">
        <v>20</v>
      </c>
      <c r="B752" s="53">
        <v>17</v>
      </c>
      <c r="C752" s="54" t="s">
        <v>52</v>
      </c>
      <c r="D752" s="55" t="s">
        <v>1370</v>
      </c>
      <c r="E752" s="56" t="s">
        <v>1371</v>
      </c>
      <c r="F752" s="43">
        <v>95.136</v>
      </c>
      <c r="G752" s="57"/>
      <c r="H752" s="57"/>
      <c r="I752" s="58"/>
      <c r="J752" s="59">
        <f t="shared" si="227"/>
        <v>742.8502282779862</v>
      </c>
      <c r="K752" s="60">
        <v>0.9336178972540682</v>
      </c>
      <c r="L752" s="75">
        <v>1.0215712654528712</v>
      </c>
      <c r="M752" s="63">
        <f t="shared" si="228"/>
        <v>66692.1</v>
      </c>
      <c r="N752" s="63">
        <f t="shared" si="229"/>
        <v>60489.7</v>
      </c>
      <c r="O752" s="62"/>
      <c r="P752" s="76"/>
      <c r="Q752" s="77"/>
      <c r="R752" s="76"/>
      <c r="S752" s="77"/>
      <c r="T752" s="64"/>
      <c r="U752" s="45">
        <f t="shared" si="230"/>
        <v>60489.7</v>
      </c>
      <c r="V752" s="65"/>
    </row>
    <row r="753" spans="1:22" ht="12.75" hidden="1">
      <c r="A753" s="52">
        <v>20</v>
      </c>
      <c r="B753" s="53">
        <v>18</v>
      </c>
      <c r="C753" s="54" t="s">
        <v>52</v>
      </c>
      <c r="D753" s="55" t="s">
        <v>1372</v>
      </c>
      <c r="E753" s="56" t="s">
        <v>1373</v>
      </c>
      <c r="F753" s="43">
        <v>15.316</v>
      </c>
      <c r="G753" s="57"/>
      <c r="H753" s="57"/>
      <c r="I753" s="58"/>
      <c r="J753" s="59">
        <f t="shared" si="227"/>
        <v>742.8502282779862</v>
      </c>
      <c r="K753" s="60">
        <v>0.9336178972540682</v>
      </c>
      <c r="L753" s="75">
        <v>1.0275250043916522</v>
      </c>
      <c r="M753" s="63">
        <f t="shared" si="228"/>
        <v>10768.4</v>
      </c>
      <c r="N753" s="63">
        <f t="shared" si="229"/>
        <v>9766.9</v>
      </c>
      <c r="O753" s="62"/>
      <c r="P753" s="76"/>
      <c r="Q753" s="77"/>
      <c r="R753" s="76"/>
      <c r="S753" s="77"/>
      <c r="T753" s="64"/>
      <c r="U753" s="45">
        <f t="shared" si="230"/>
        <v>9766.9</v>
      </c>
      <c r="V753" s="65"/>
    </row>
    <row r="754" spans="1:22" ht="12.75" hidden="1">
      <c r="A754" s="52">
        <v>20</v>
      </c>
      <c r="B754" s="53">
        <v>19</v>
      </c>
      <c r="C754" s="54" t="s">
        <v>52</v>
      </c>
      <c r="D754" s="55" t="s">
        <v>1374</v>
      </c>
      <c r="E754" s="56" t="s">
        <v>1375</v>
      </c>
      <c r="F754" s="43">
        <v>71.766</v>
      </c>
      <c r="G754" s="57"/>
      <c r="H754" s="57"/>
      <c r="I754" s="58"/>
      <c r="J754" s="59">
        <f t="shared" si="227"/>
        <v>742.8502282779862</v>
      </c>
      <c r="K754" s="60">
        <v>0.9336178972540682</v>
      </c>
      <c r="L754" s="75">
        <v>1.061829293981691</v>
      </c>
      <c r="M754" s="63">
        <f t="shared" si="228"/>
        <v>51311.2</v>
      </c>
      <c r="N754" s="63">
        <f t="shared" si="229"/>
        <v>46539.3</v>
      </c>
      <c r="O754" s="62"/>
      <c r="P754" s="76"/>
      <c r="Q754" s="77"/>
      <c r="R754" s="76"/>
      <c r="S754" s="77"/>
      <c r="T754" s="64"/>
      <c r="U754" s="45">
        <f t="shared" si="230"/>
        <v>46539.3</v>
      </c>
      <c r="V754" s="65"/>
    </row>
    <row r="755" spans="1:22" ht="12.75" hidden="1">
      <c r="A755" s="52">
        <v>20</v>
      </c>
      <c r="B755" s="53">
        <v>20</v>
      </c>
      <c r="C755" s="54" t="s">
        <v>52</v>
      </c>
      <c r="D755" s="55" t="s">
        <v>1376</v>
      </c>
      <c r="E755" s="56" t="s">
        <v>845</v>
      </c>
      <c r="F755" s="43">
        <v>26.456</v>
      </c>
      <c r="G755" s="57"/>
      <c r="H755" s="57"/>
      <c r="I755" s="58"/>
      <c r="J755" s="59">
        <f t="shared" si="227"/>
        <v>742.8502282779862</v>
      </c>
      <c r="K755" s="60">
        <v>0.9336178972540682</v>
      </c>
      <c r="L755" s="75">
        <v>1.0649772283293084</v>
      </c>
      <c r="M755" s="63">
        <f t="shared" si="228"/>
        <v>18944.4</v>
      </c>
      <c r="N755" s="63">
        <f t="shared" si="229"/>
        <v>17182.6</v>
      </c>
      <c r="O755" s="62"/>
      <c r="P755" s="76"/>
      <c r="Q755" s="77"/>
      <c r="R755" s="76"/>
      <c r="S755" s="77"/>
      <c r="T755" s="64"/>
      <c r="U755" s="45">
        <f t="shared" si="230"/>
        <v>17182.6</v>
      </c>
      <c r="V755" s="65"/>
    </row>
    <row r="756" spans="1:22" ht="12.75" hidden="1">
      <c r="A756" s="52">
        <v>20</v>
      </c>
      <c r="B756" s="53">
        <v>21</v>
      </c>
      <c r="C756" s="54" t="s">
        <v>52</v>
      </c>
      <c r="D756" s="55" t="s">
        <v>1377</v>
      </c>
      <c r="E756" s="56" t="s">
        <v>1378</v>
      </c>
      <c r="F756" s="43">
        <v>17.339</v>
      </c>
      <c r="G756" s="57"/>
      <c r="H756" s="57"/>
      <c r="I756" s="58"/>
      <c r="J756" s="59">
        <f t="shared" si="227"/>
        <v>742.8502282779862</v>
      </c>
      <c r="K756" s="60">
        <v>0.9336178972540682</v>
      </c>
      <c r="L756" s="75">
        <v>1.0434775487764896</v>
      </c>
      <c r="M756" s="63">
        <f t="shared" si="228"/>
        <v>12286.7</v>
      </c>
      <c r="N756" s="63">
        <f t="shared" si="229"/>
        <v>11144</v>
      </c>
      <c r="O756" s="62"/>
      <c r="P756" s="76"/>
      <c r="Q756" s="77"/>
      <c r="R756" s="76"/>
      <c r="S756" s="77"/>
      <c r="T756" s="64"/>
      <c r="U756" s="45">
        <f t="shared" si="230"/>
        <v>11144</v>
      </c>
      <c r="V756" s="65"/>
    </row>
    <row r="757" spans="1:22" ht="12.75" hidden="1">
      <c r="A757" s="52">
        <v>20</v>
      </c>
      <c r="B757" s="53">
        <v>22</v>
      </c>
      <c r="C757" s="54" t="s">
        <v>52</v>
      </c>
      <c r="D757" s="55" t="s">
        <v>1379</v>
      </c>
      <c r="E757" s="56" t="s">
        <v>1380</v>
      </c>
      <c r="F757" s="43">
        <v>21.041</v>
      </c>
      <c r="G757" s="57"/>
      <c r="H757" s="57"/>
      <c r="I757" s="58"/>
      <c r="J757" s="59">
        <f t="shared" si="227"/>
        <v>742.8502282779862</v>
      </c>
      <c r="K757" s="60">
        <v>0.9336178972540682</v>
      </c>
      <c r="L757" s="75">
        <v>0.9863708827649865</v>
      </c>
      <c r="M757" s="63">
        <f t="shared" si="228"/>
        <v>14493.3</v>
      </c>
      <c r="N757" s="63">
        <f t="shared" si="229"/>
        <v>13145.4</v>
      </c>
      <c r="O757" s="62"/>
      <c r="P757" s="76"/>
      <c r="Q757" s="77"/>
      <c r="R757" s="76"/>
      <c r="S757" s="77"/>
      <c r="T757" s="64"/>
      <c r="U757" s="45">
        <f t="shared" si="230"/>
        <v>13145.4</v>
      </c>
      <c r="V757" s="65"/>
    </row>
    <row r="758" spans="1:22" ht="12.75" hidden="1">
      <c r="A758" s="52">
        <v>20</v>
      </c>
      <c r="B758" s="53">
        <v>23</v>
      </c>
      <c r="C758" s="54" t="s">
        <v>52</v>
      </c>
      <c r="D758" s="55" t="s">
        <v>1381</v>
      </c>
      <c r="E758" s="56" t="s">
        <v>1382</v>
      </c>
      <c r="F758" s="43">
        <v>7.076</v>
      </c>
      <c r="G758" s="57"/>
      <c r="H758" s="57"/>
      <c r="I758" s="58"/>
      <c r="J758" s="59">
        <f t="shared" si="227"/>
        <v>742.8502282779862</v>
      </c>
      <c r="K758" s="60">
        <v>0.9336178972540682</v>
      </c>
      <c r="L758" s="75">
        <v>1.0922813174293908</v>
      </c>
      <c r="M758" s="63">
        <f t="shared" si="228"/>
        <v>5133.9</v>
      </c>
      <c r="N758" s="63">
        <f t="shared" si="229"/>
        <v>4656.4</v>
      </c>
      <c r="O758" s="62"/>
      <c r="P758" s="76"/>
      <c r="Q758" s="77"/>
      <c r="R758" s="76"/>
      <c r="S758" s="77"/>
      <c r="T758" s="64"/>
      <c r="U758" s="45">
        <f t="shared" si="230"/>
        <v>4656.4</v>
      </c>
      <c r="V758" s="65"/>
    </row>
    <row r="759" spans="1:22" ht="12.75" hidden="1">
      <c r="A759" s="52">
        <v>20</v>
      </c>
      <c r="B759" s="53">
        <v>24</v>
      </c>
      <c r="C759" s="54" t="s">
        <v>52</v>
      </c>
      <c r="D759" s="55" t="s">
        <v>1383</v>
      </c>
      <c r="E759" s="56" t="s">
        <v>1384</v>
      </c>
      <c r="F759" s="43">
        <v>44.699</v>
      </c>
      <c r="G759" s="57"/>
      <c r="H759" s="57"/>
      <c r="I759" s="58"/>
      <c r="J759" s="59">
        <f t="shared" si="227"/>
        <v>742.8502282779862</v>
      </c>
      <c r="K759" s="60">
        <v>0.9336178972540682</v>
      </c>
      <c r="L759" s="75">
        <v>1.0210287510820166</v>
      </c>
      <c r="M759" s="63">
        <f t="shared" si="228"/>
        <v>31326.4</v>
      </c>
      <c r="N759" s="63">
        <f t="shared" si="229"/>
        <v>28413</v>
      </c>
      <c r="O759" s="62"/>
      <c r="P759" s="76"/>
      <c r="Q759" s="77"/>
      <c r="R759" s="76"/>
      <c r="S759" s="77"/>
      <c r="T759" s="64"/>
      <c r="U759" s="45">
        <f t="shared" si="230"/>
        <v>28413</v>
      </c>
      <c r="V759" s="65"/>
    </row>
    <row r="760" spans="1:22" s="82" customFormat="1" ht="13.5" hidden="1">
      <c r="A760" s="52">
        <v>20</v>
      </c>
      <c r="B760" s="53">
        <v>25</v>
      </c>
      <c r="C760" s="54" t="s">
        <v>52</v>
      </c>
      <c r="D760" s="55" t="s">
        <v>1385</v>
      </c>
      <c r="E760" s="56" t="s">
        <v>1386</v>
      </c>
      <c r="F760" s="43">
        <v>28.202</v>
      </c>
      <c r="G760" s="57"/>
      <c r="H760" s="57"/>
      <c r="I760" s="58"/>
      <c r="J760" s="59">
        <f t="shared" si="227"/>
        <v>742.8502282779862</v>
      </c>
      <c r="K760" s="60">
        <v>0.9336178972540682</v>
      </c>
      <c r="L760" s="75">
        <v>1.0442004833493708</v>
      </c>
      <c r="M760" s="63">
        <f t="shared" si="228"/>
        <v>19991.4</v>
      </c>
      <c r="N760" s="63">
        <f t="shared" si="229"/>
        <v>18132.2</v>
      </c>
      <c r="O760" s="62"/>
      <c r="P760" s="76"/>
      <c r="Q760" s="77"/>
      <c r="R760" s="76"/>
      <c r="S760" s="77"/>
      <c r="T760" s="64"/>
      <c r="U760" s="45">
        <f t="shared" si="230"/>
        <v>18132.2</v>
      </c>
      <c r="V760" s="65"/>
    </row>
    <row r="761" spans="1:22" s="82" customFormat="1" ht="13.5" hidden="1">
      <c r="A761" s="52">
        <v>20</v>
      </c>
      <c r="B761" s="53">
        <v>26</v>
      </c>
      <c r="C761" s="54" t="s">
        <v>52</v>
      </c>
      <c r="D761" s="55" t="s">
        <v>1387</v>
      </c>
      <c r="E761" s="56" t="s">
        <v>1388</v>
      </c>
      <c r="F761" s="43">
        <v>24.714</v>
      </c>
      <c r="G761" s="57"/>
      <c r="H761" s="57"/>
      <c r="I761" s="58"/>
      <c r="J761" s="59">
        <f t="shared" si="227"/>
        <v>742.8502282779862</v>
      </c>
      <c r="K761" s="60">
        <v>0.9336178972540682</v>
      </c>
      <c r="L761" s="75">
        <v>1.0777974752641306</v>
      </c>
      <c r="M761" s="63">
        <f t="shared" si="228"/>
        <v>17806.8</v>
      </c>
      <c r="N761" s="63">
        <f t="shared" si="229"/>
        <v>16150.8</v>
      </c>
      <c r="O761" s="62"/>
      <c r="P761" s="76"/>
      <c r="Q761" s="77"/>
      <c r="R761" s="76"/>
      <c r="S761" s="77"/>
      <c r="T761" s="64">
        <f>-ROUND(N761,1)</f>
        <v>-16150.8</v>
      </c>
      <c r="U761" s="45">
        <f t="shared" si="230"/>
        <v>0</v>
      </c>
      <c r="V761" s="65"/>
    </row>
    <row r="762" spans="1:22" s="129" customFormat="1" ht="12.75" hidden="1">
      <c r="A762" s="52">
        <v>20</v>
      </c>
      <c r="B762" s="53">
        <v>27</v>
      </c>
      <c r="C762" s="54" t="s">
        <v>52</v>
      </c>
      <c r="D762" s="55" t="s">
        <v>1389</v>
      </c>
      <c r="E762" s="56" t="s">
        <v>1390</v>
      </c>
      <c r="F762" s="43">
        <v>29.064</v>
      </c>
      <c r="G762" s="57"/>
      <c r="H762" s="57"/>
      <c r="I762" s="58"/>
      <c r="J762" s="59">
        <f t="shared" si="227"/>
        <v>742.8502282779862</v>
      </c>
      <c r="K762" s="60">
        <v>0.9336178972540682</v>
      </c>
      <c r="L762" s="75">
        <v>1.0318999401173035</v>
      </c>
      <c r="M762" s="63">
        <f t="shared" si="228"/>
        <v>20478.5</v>
      </c>
      <c r="N762" s="63">
        <f t="shared" si="229"/>
        <v>18574</v>
      </c>
      <c r="O762" s="62"/>
      <c r="P762" s="76"/>
      <c r="Q762" s="77"/>
      <c r="R762" s="76"/>
      <c r="S762" s="77"/>
      <c r="T762" s="64"/>
      <c r="U762" s="45">
        <f t="shared" si="230"/>
        <v>18574</v>
      </c>
      <c r="V762" s="65"/>
    </row>
    <row r="763" spans="1:22" s="91" customFormat="1" ht="12.75" hidden="1">
      <c r="A763" s="52">
        <v>20</v>
      </c>
      <c r="B763" s="53">
        <v>28</v>
      </c>
      <c r="C763" s="54" t="s">
        <v>52</v>
      </c>
      <c r="D763" s="55" t="s">
        <v>1391</v>
      </c>
      <c r="E763" s="56" t="s">
        <v>1392</v>
      </c>
      <c r="F763" s="43">
        <v>33.13</v>
      </c>
      <c r="G763" s="57"/>
      <c r="H763" s="57"/>
      <c r="I763" s="58"/>
      <c r="J763" s="59">
        <f t="shared" si="227"/>
        <v>742.8502282779862</v>
      </c>
      <c r="K763" s="60">
        <v>0.9336178972540682</v>
      </c>
      <c r="L763" s="75">
        <v>1.0261318214007837</v>
      </c>
      <c r="M763" s="63">
        <f t="shared" si="228"/>
        <v>23277.1</v>
      </c>
      <c r="N763" s="63">
        <f t="shared" si="229"/>
        <v>21112.3</v>
      </c>
      <c r="O763" s="62"/>
      <c r="P763" s="76"/>
      <c r="Q763" s="77"/>
      <c r="R763" s="76"/>
      <c r="S763" s="77"/>
      <c r="T763" s="64"/>
      <c r="U763" s="45">
        <f t="shared" si="230"/>
        <v>21112.3</v>
      </c>
      <c r="V763" s="65"/>
    </row>
    <row r="764" spans="1:22" s="155" customFormat="1" ht="12.75" hidden="1">
      <c r="A764" s="52">
        <v>20</v>
      </c>
      <c r="B764" s="53">
        <v>29</v>
      </c>
      <c r="C764" s="54" t="s">
        <v>52</v>
      </c>
      <c r="D764" s="55" t="s">
        <v>1393</v>
      </c>
      <c r="E764" s="56" t="s">
        <v>947</v>
      </c>
      <c r="F764" s="43">
        <v>15.986</v>
      </c>
      <c r="G764" s="57"/>
      <c r="H764" s="57"/>
      <c r="I764" s="58"/>
      <c r="J764" s="59">
        <f t="shared" si="227"/>
        <v>742.8502282779862</v>
      </c>
      <c r="K764" s="60">
        <v>0.9336178972540682</v>
      </c>
      <c r="L764" s="75">
        <v>1.0872541782427345</v>
      </c>
      <c r="M764" s="63">
        <f t="shared" si="228"/>
        <v>11570.6</v>
      </c>
      <c r="N764" s="63">
        <f t="shared" si="229"/>
        <v>10494.5</v>
      </c>
      <c r="O764" s="62"/>
      <c r="P764" s="76"/>
      <c r="Q764" s="77"/>
      <c r="R764" s="76"/>
      <c r="S764" s="77"/>
      <c r="T764" s="64">
        <f>-ROUND(N764,1)</f>
        <v>-10494.5</v>
      </c>
      <c r="U764" s="45">
        <f t="shared" si="230"/>
        <v>0</v>
      </c>
      <c r="V764" s="65"/>
    </row>
    <row r="765" spans="1:22" ht="12.75" hidden="1">
      <c r="A765" s="52">
        <v>20</v>
      </c>
      <c r="B765" s="53">
        <v>30</v>
      </c>
      <c r="C765" s="54" t="s">
        <v>52</v>
      </c>
      <c r="D765" s="55" t="s">
        <v>1394</v>
      </c>
      <c r="E765" s="56" t="s">
        <v>1395</v>
      </c>
      <c r="F765" s="43">
        <v>10.088</v>
      </c>
      <c r="G765" s="57"/>
      <c r="H765" s="57"/>
      <c r="I765" s="58"/>
      <c r="J765" s="59">
        <f t="shared" si="227"/>
        <v>742.8502282779862</v>
      </c>
      <c r="K765" s="60">
        <v>0.9336178972540682</v>
      </c>
      <c r="L765" s="75">
        <v>1.0758258921943953</v>
      </c>
      <c r="M765" s="63">
        <f t="shared" si="228"/>
        <v>7261.7</v>
      </c>
      <c r="N765" s="63">
        <f t="shared" si="229"/>
        <v>6586.4</v>
      </c>
      <c r="O765" s="62"/>
      <c r="P765" s="76"/>
      <c r="Q765" s="77"/>
      <c r="R765" s="76"/>
      <c r="S765" s="77"/>
      <c r="T765" s="64"/>
      <c r="U765" s="45">
        <f t="shared" si="230"/>
        <v>6586.4</v>
      </c>
      <c r="V765" s="65"/>
    </row>
    <row r="766" spans="1:22" ht="12.75" hidden="1">
      <c r="A766" s="52">
        <v>20</v>
      </c>
      <c r="B766" s="53">
        <v>31</v>
      </c>
      <c r="C766" s="54" t="s">
        <v>52</v>
      </c>
      <c r="D766" s="55" t="s">
        <v>1396</v>
      </c>
      <c r="E766" s="56" t="s">
        <v>1397</v>
      </c>
      <c r="F766" s="43">
        <v>21.288</v>
      </c>
      <c r="G766" s="57"/>
      <c r="H766" s="57"/>
      <c r="I766" s="58"/>
      <c r="J766" s="59">
        <f t="shared" si="227"/>
        <v>742.8502282779862</v>
      </c>
      <c r="K766" s="60">
        <v>0.9336178972540682</v>
      </c>
      <c r="L766" s="75">
        <v>1.0266025231381442</v>
      </c>
      <c r="M766" s="63">
        <f t="shared" si="228"/>
        <v>14960.4</v>
      </c>
      <c r="N766" s="63">
        <f t="shared" si="229"/>
        <v>13569.1</v>
      </c>
      <c r="O766" s="62"/>
      <c r="P766" s="76"/>
      <c r="Q766" s="77"/>
      <c r="R766" s="76"/>
      <c r="S766" s="77"/>
      <c r="T766" s="64"/>
      <c r="U766" s="45">
        <f t="shared" si="230"/>
        <v>13569.1</v>
      </c>
      <c r="V766" s="65"/>
    </row>
    <row r="767" spans="1:22" ht="12.75" hidden="1">
      <c r="A767" s="52">
        <v>20</v>
      </c>
      <c r="B767" s="53">
        <v>32</v>
      </c>
      <c r="C767" s="54" t="s">
        <v>52</v>
      </c>
      <c r="D767" s="55" t="s">
        <v>1398</v>
      </c>
      <c r="E767" s="56" t="s">
        <v>1399</v>
      </c>
      <c r="F767" s="43">
        <v>182.067</v>
      </c>
      <c r="G767" s="57"/>
      <c r="H767" s="57"/>
      <c r="I767" s="58"/>
      <c r="J767" s="59">
        <f t="shared" si="227"/>
        <v>742.8502282779862</v>
      </c>
      <c r="K767" s="60">
        <v>0.9336178972540682</v>
      </c>
      <c r="L767" s="75">
        <v>1.008688733903969</v>
      </c>
      <c r="M767" s="63">
        <f t="shared" si="228"/>
        <v>126819</v>
      </c>
      <c r="N767" s="63">
        <f t="shared" si="229"/>
        <v>115024.8</v>
      </c>
      <c r="O767" s="62"/>
      <c r="P767" s="76"/>
      <c r="Q767" s="77"/>
      <c r="R767" s="76"/>
      <c r="S767" s="77"/>
      <c r="T767" s="64"/>
      <c r="U767" s="45">
        <f t="shared" si="230"/>
        <v>115024.8</v>
      </c>
      <c r="V767" s="65"/>
    </row>
    <row r="768" spans="1:22" ht="12.75" hidden="1">
      <c r="A768" s="52">
        <v>20</v>
      </c>
      <c r="B768" s="53">
        <v>33</v>
      </c>
      <c r="C768" s="54" t="s">
        <v>52</v>
      </c>
      <c r="D768" s="55" t="s">
        <v>1400</v>
      </c>
      <c r="E768" s="56" t="s">
        <v>1401</v>
      </c>
      <c r="F768" s="43">
        <v>46.549</v>
      </c>
      <c r="G768" s="57"/>
      <c r="H768" s="57"/>
      <c r="I768" s="58"/>
      <c r="J768" s="59">
        <f t="shared" si="227"/>
        <v>742.8502282779862</v>
      </c>
      <c r="K768" s="60">
        <v>0.9336178972540682</v>
      </c>
      <c r="L768" s="75">
        <v>1.0406211519284212</v>
      </c>
      <c r="M768" s="63">
        <f t="shared" si="228"/>
        <v>32939.2</v>
      </c>
      <c r="N768" s="63">
        <f t="shared" si="229"/>
        <v>29875.9</v>
      </c>
      <c r="O768" s="62"/>
      <c r="P768" s="76"/>
      <c r="Q768" s="77"/>
      <c r="R768" s="76"/>
      <c r="S768" s="77"/>
      <c r="T768" s="64"/>
      <c r="U768" s="45">
        <f t="shared" si="230"/>
        <v>29875.9</v>
      </c>
      <c r="V768" s="65"/>
    </row>
    <row r="769" spans="1:22" ht="12.75" hidden="1">
      <c r="A769" s="52">
        <v>20</v>
      </c>
      <c r="B769" s="53">
        <v>34</v>
      </c>
      <c r="C769" s="54" t="s">
        <v>52</v>
      </c>
      <c r="D769" s="55" t="s">
        <v>1402</v>
      </c>
      <c r="E769" s="56" t="s">
        <v>1403</v>
      </c>
      <c r="F769" s="43">
        <v>20.453</v>
      </c>
      <c r="G769" s="57"/>
      <c r="H769" s="57"/>
      <c r="I769" s="58"/>
      <c r="J769" s="59">
        <f t="shared" si="227"/>
        <v>742.8502282779862</v>
      </c>
      <c r="K769" s="60">
        <v>0.9336178972540682</v>
      </c>
      <c r="L769" s="75">
        <v>1.0250733508221068</v>
      </c>
      <c r="M769" s="63">
        <f t="shared" si="228"/>
        <v>14362.8</v>
      </c>
      <c r="N769" s="63">
        <f t="shared" si="229"/>
        <v>13027.1</v>
      </c>
      <c r="O769" s="62"/>
      <c r="P769" s="76"/>
      <c r="Q769" s="77"/>
      <c r="R769" s="76"/>
      <c r="S769" s="77"/>
      <c r="T769" s="64"/>
      <c r="U769" s="45">
        <f t="shared" si="230"/>
        <v>13027.1</v>
      </c>
      <c r="V769" s="65"/>
    </row>
    <row r="770" spans="1:22" ht="26.25" hidden="1">
      <c r="A770" s="52"/>
      <c r="B770" s="53"/>
      <c r="C770" s="54"/>
      <c r="D770" s="55"/>
      <c r="E770" s="79" t="s">
        <v>112</v>
      </c>
      <c r="F770" s="43">
        <f>SUM(F771)</f>
        <v>8.122</v>
      </c>
      <c r="G770" s="57"/>
      <c r="H770" s="57"/>
      <c r="I770" s="58"/>
      <c r="J770" s="59"/>
      <c r="K770" s="60"/>
      <c r="L770" s="75">
        <v>0</v>
      </c>
      <c r="M770" s="72">
        <f aca="true" t="shared" si="231" ref="M770:U770">SUM(M771)</f>
        <v>5753.7</v>
      </c>
      <c r="N770" s="72">
        <f t="shared" si="231"/>
        <v>5218.6</v>
      </c>
      <c r="O770" s="72">
        <f t="shared" si="231"/>
        <v>0</v>
      </c>
      <c r="P770" s="72">
        <f t="shared" si="231"/>
        <v>0</v>
      </c>
      <c r="Q770" s="72">
        <f t="shared" si="231"/>
        <v>0</v>
      </c>
      <c r="R770" s="72">
        <f t="shared" si="231"/>
        <v>0</v>
      </c>
      <c r="S770" s="72">
        <f t="shared" si="231"/>
        <v>0</v>
      </c>
      <c r="T770" s="72">
        <f t="shared" si="231"/>
        <v>0</v>
      </c>
      <c r="U770" s="72">
        <f t="shared" si="231"/>
        <v>5218.6</v>
      </c>
      <c r="V770" s="65"/>
    </row>
    <row r="771" spans="1:22" s="121" customFormat="1" ht="26.25" hidden="1">
      <c r="A771" s="104">
        <v>20</v>
      </c>
      <c r="B771" s="105">
        <v>35</v>
      </c>
      <c r="C771" s="198" t="s">
        <v>113</v>
      </c>
      <c r="D771" s="119" t="s">
        <v>1404</v>
      </c>
      <c r="E771" s="108" t="s">
        <v>1405</v>
      </c>
      <c r="F771" s="109">
        <v>8.122</v>
      </c>
      <c r="G771" s="158"/>
      <c r="H771" s="158"/>
      <c r="I771" s="159"/>
      <c r="J771" s="112">
        <f>+($F$7-$O$952-$Q$952-$P$952-$R$952-$S$952)/($F$952-$G$952*1-$H$952*0.5)*0.646*1.0268514</f>
        <v>742.8502282779862</v>
      </c>
      <c r="K771" s="113">
        <v>0.9336178972540682</v>
      </c>
      <c r="L771" s="75">
        <v>1.042892796912551</v>
      </c>
      <c r="M771" s="63">
        <f>ROUND(J771*(F771-G771-H771*I771)*K771*(0.5+0.5*L771),1)</f>
        <v>5753.7</v>
      </c>
      <c r="N771" s="63">
        <f>ROUND(M771*0.907,1)</f>
        <v>5218.6</v>
      </c>
      <c r="O771" s="62"/>
      <c r="P771" s="160"/>
      <c r="Q771" s="77"/>
      <c r="R771" s="76"/>
      <c r="S771" s="77"/>
      <c r="T771" s="115"/>
      <c r="U771" s="116">
        <f>+N771+O771+T771+R771+S771+Q771</f>
        <v>5218.6</v>
      </c>
      <c r="V771" s="117"/>
    </row>
    <row r="772" spans="1:22" s="82" customFormat="1" ht="25.5" hidden="1">
      <c r="A772" s="170">
        <v>21</v>
      </c>
      <c r="B772" s="167" t="s">
        <v>26</v>
      </c>
      <c r="C772" s="40" t="s">
        <v>27</v>
      </c>
      <c r="D772" s="55"/>
      <c r="E772" s="168" t="s">
        <v>1406</v>
      </c>
      <c r="F772" s="43">
        <f>F773+F774+F779+F798</f>
        <v>1062.356</v>
      </c>
      <c r="G772" s="44">
        <f>+G773+G774+G779+G798</f>
        <v>0</v>
      </c>
      <c r="H772" s="44">
        <f>+H773+H774+H779+H798</f>
        <v>0</v>
      </c>
      <c r="I772" s="45"/>
      <c r="J772" s="46"/>
      <c r="K772" s="47"/>
      <c r="L772" s="48">
        <v>1.0017423787581397</v>
      </c>
      <c r="M772" s="49">
        <f aca="true" t="shared" si="232" ref="M772:U772">+M773+M774+M779+M798</f>
        <v>1182674.2000000002</v>
      </c>
      <c r="N772" s="49">
        <f t="shared" si="232"/>
        <v>1182674.2000000002</v>
      </c>
      <c r="O772" s="49">
        <f t="shared" si="232"/>
        <v>0</v>
      </c>
      <c r="P772" s="49">
        <f t="shared" si="232"/>
        <v>65.1</v>
      </c>
      <c r="Q772" s="49">
        <f t="shared" si="232"/>
        <v>18264.8</v>
      </c>
      <c r="R772" s="49">
        <f t="shared" si="232"/>
        <v>19049</v>
      </c>
      <c r="S772" s="49">
        <f t="shared" si="232"/>
        <v>377.4</v>
      </c>
      <c r="T772" s="49">
        <f t="shared" si="232"/>
        <v>0</v>
      </c>
      <c r="U772" s="49">
        <f t="shared" si="232"/>
        <v>1220430.5</v>
      </c>
      <c r="V772" s="65"/>
    </row>
    <row r="773" spans="1:22" s="129" customFormat="1" ht="12.75" hidden="1">
      <c r="A773" s="52">
        <v>21</v>
      </c>
      <c r="B773" s="53" t="s">
        <v>26</v>
      </c>
      <c r="C773" s="54" t="s">
        <v>29</v>
      </c>
      <c r="D773" s="55" t="s">
        <v>1407</v>
      </c>
      <c r="E773" s="56" t="s">
        <v>31</v>
      </c>
      <c r="F773" s="43">
        <v>0</v>
      </c>
      <c r="G773" s="128"/>
      <c r="H773" s="128"/>
      <c r="I773" s="58"/>
      <c r="J773" s="59">
        <f>+($F$7-$O$952-$Q$952-$P$952-R$952-$S$952)/$F$952*0.354*0.951</f>
        <v>376.76602120660414</v>
      </c>
      <c r="K773" s="60">
        <v>0</v>
      </c>
      <c r="L773" s="48">
        <v>1.0017423787581397</v>
      </c>
      <c r="M773" s="49">
        <f>ROUND(J773*(F774+F779+F798)*(0.5+0.5*L773),1)</f>
        <v>400608.3</v>
      </c>
      <c r="N773" s="49">
        <f>M773+ROUND(SUM(M775:M778)*0.117+SUM(M780:M797)*0.093+SUM(M799)*0.093,1)+0.1</f>
        <v>482008.19999999995</v>
      </c>
      <c r="O773" s="61"/>
      <c r="P773" s="62">
        <v>65.1</v>
      </c>
      <c r="Q773" s="63">
        <v>18264.8</v>
      </c>
      <c r="R773" s="62">
        <v>19049</v>
      </c>
      <c r="S773" s="63">
        <v>377.4</v>
      </c>
      <c r="T773" s="64"/>
      <c r="U773" s="45">
        <f>N773+O773+P773+Q773+R773+S773+T773</f>
        <v>519764.49999999994</v>
      </c>
      <c r="V773" s="65"/>
    </row>
    <row r="774" spans="1:22" ht="13.5" hidden="1">
      <c r="A774" s="38">
        <v>21</v>
      </c>
      <c r="B774" s="39" t="s">
        <v>26</v>
      </c>
      <c r="C774" s="40" t="s">
        <v>33</v>
      </c>
      <c r="D774" s="55"/>
      <c r="E774" s="79" t="s">
        <v>34</v>
      </c>
      <c r="F774" s="43">
        <f>SUM(F775:F778)</f>
        <v>453.301</v>
      </c>
      <c r="G774" s="67">
        <f>SUM(G775:G778)</f>
        <v>0</v>
      </c>
      <c r="H774" s="68">
        <f>SUM(H775:H778)</f>
        <v>0</v>
      </c>
      <c r="I774" s="69"/>
      <c r="J774" s="59"/>
      <c r="K774" s="70"/>
      <c r="L774" s="71">
        <v>1.0137312404075858</v>
      </c>
      <c r="M774" s="72">
        <f aca="true" t="shared" si="233" ref="M774:U774">SUM(M775:M778)</f>
        <v>361154.20000000007</v>
      </c>
      <c r="N774" s="72">
        <f t="shared" si="233"/>
        <v>318899.10000000003</v>
      </c>
      <c r="O774" s="72">
        <f t="shared" si="233"/>
        <v>0</v>
      </c>
      <c r="P774" s="72">
        <f t="shared" si="233"/>
        <v>0</v>
      </c>
      <c r="Q774" s="72">
        <f t="shared" si="233"/>
        <v>0</v>
      </c>
      <c r="R774" s="72">
        <f t="shared" si="233"/>
        <v>0</v>
      </c>
      <c r="S774" s="72">
        <f t="shared" si="233"/>
        <v>0</v>
      </c>
      <c r="T774" s="72">
        <f t="shared" si="233"/>
        <v>-26217.5</v>
      </c>
      <c r="U774" s="72">
        <f t="shared" si="233"/>
        <v>292681.60000000003</v>
      </c>
      <c r="V774" s="73"/>
    </row>
    <row r="775" spans="1:22" ht="12.75" hidden="1">
      <c r="A775" s="52">
        <v>21</v>
      </c>
      <c r="B775" s="53" t="s">
        <v>35</v>
      </c>
      <c r="C775" s="54" t="s">
        <v>36</v>
      </c>
      <c r="D775" s="55" t="s">
        <v>1408</v>
      </c>
      <c r="E775" s="74" t="s">
        <v>1409</v>
      </c>
      <c r="F775" s="43">
        <v>333.364</v>
      </c>
      <c r="G775" s="162"/>
      <c r="H775" s="162"/>
      <c r="I775" s="58"/>
      <c r="J775" s="59">
        <f>+($F$7-$O$952-$Q$952-$P$952-$R$952-$S$952)/($F$952-$G$952*1-$H$952*0.5)*0.646*1.0268514</f>
        <v>742.8502282779862</v>
      </c>
      <c r="K775" s="60">
        <v>1.065228053001168</v>
      </c>
      <c r="L775" s="75">
        <v>1.0101262221775698</v>
      </c>
      <c r="M775" s="63">
        <f>ROUND(J775*(F775-G775-H775*I775)*K775*(0.5+0.5*L775),1)</f>
        <v>265128.2</v>
      </c>
      <c r="N775" s="63">
        <f>ROUND(M775*0.883,1)</f>
        <v>234108.2</v>
      </c>
      <c r="O775" s="62"/>
      <c r="P775" s="76"/>
      <c r="Q775" s="77"/>
      <c r="R775" s="76"/>
      <c r="S775" s="77"/>
      <c r="T775" s="64"/>
      <c r="U775" s="45">
        <f>+N775+O775+T775+R775+S775+Q775</f>
        <v>234108.2</v>
      </c>
      <c r="V775" s="65"/>
    </row>
    <row r="776" spans="1:22" ht="12.75" hidden="1">
      <c r="A776" s="52">
        <v>21</v>
      </c>
      <c r="B776" s="53" t="s">
        <v>32</v>
      </c>
      <c r="C776" s="54" t="s">
        <v>36</v>
      </c>
      <c r="D776" s="55" t="s">
        <v>1410</v>
      </c>
      <c r="E776" s="78" t="s">
        <v>1411</v>
      </c>
      <c r="F776" s="43">
        <v>36.944</v>
      </c>
      <c r="G776" s="57"/>
      <c r="H776" s="57"/>
      <c r="I776" s="58"/>
      <c r="J776" s="59">
        <f>+($F$7-$O$952-$Q$952-$P$952-$R$952-$S$952)/($F$952-$G$952*1-$H$952*0.5)*0.646*1.0268514</f>
        <v>742.8502282779862</v>
      </c>
      <c r="K776" s="60">
        <v>1.065228053001168</v>
      </c>
      <c r="L776" s="75">
        <v>1.0312913202472465</v>
      </c>
      <c r="M776" s="63">
        <f>ROUND(J776*(F776-G776-H776*I776)*K776*(0.5+0.5*L776),1)</f>
        <v>29691.4</v>
      </c>
      <c r="N776" s="63">
        <f>ROUND(M776*0.883,1)</f>
        <v>26217.5</v>
      </c>
      <c r="O776" s="62"/>
      <c r="P776" s="76"/>
      <c r="Q776" s="77"/>
      <c r="R776" s="76"/>
      <c r="S776" s="77"/>
      <c r="T776" s="64">
        <f>-ROUND(N776,1)</f>
        <v>-26217.5</v>
      </c>
      <c r="U776" s="45">
        <f>+N776+O776+T776+R776+S776+Q776</f>
        <v>0</v>
      </c>
      <c r="V776" s="65"/>
    </row>
    <row r="777" spans="1:22" ht="12.75" hidden="1">
      <c r="A777" s="52">
        <v>21</v>
      </c>
      <c r="B777" s="53" t="s">
        <v>118</v>
      </c>
      <c r="C777" s="54" t="s">
        <v>36</v>
      </c>
      <c r="D777" s="55" t="s">
        <v>1412</v>
      </c>
      <c r="E777" s="78" t="s">
        <v>1413</v>
      </c>
      <c r="F777" s="43">
        <v>68.11</v>
      </c>
      <c r="G777" s="57"/>
      <c r="H777" s="57"/>
      <c r="I777" s="58"/>
      <c r="J777" s="59">
        <f>+($F$7-$O$952-$Q$952-$P$952-$R$952-$S$952)/($F$952-$G$952*1-$H$952*0.5)*0.646*1.0268514</f>
        <v>742.8502282779862</v>
      </c>
      <c r="K777" s="60">
        <v>1.065228053001168</v>
      </c>
      <c r="L777" s="75">
        <v>1.019776774467005</v>
      </c>
      <c r="M777" s="63">
        <f>ROUND(J777*(F777-G777-H777*I777)*K777*(0.5+0.5*L777),1)</f>
        <v>54428.7</v>
      </c>
      <c r="N777" s="63">
        <f>ROUND(M777*0.883,1)</f>
        <v>48060.5</v>
      </c>
      <c r="O777" s="62"/>
      <c r="P777" s="76"/>
      <c r="Q777" s="77"/>
      <c r="R777" s="76"/>
      <c r="S777" s="77"/>
      <c r="T777" s="64"/>
      <c r="U777" s="45">
        <f>+N777+O777+T777+R777+S777+Q777</f>
        <v>48060.5</v>
      </c>
      <c r="V777" s="65"/>
    </row>
    <row r="778" spans="1:22" ht="12.75" hidden="1">
      <c r="A778" s="52">
        <v>21</v>
      </c>
      <c r="B778" s="53" t="s">
        <v>127</v>
      </c>
      <c r="C778" s="54" t="s">
        <v>36</v>
      </c>
      <c r="D778" s="55" t="s">
        <v>1414</v>
      </c>
      <c r="E778" s="78" t="s">
        <v>1415</v>
      </c>
      <c r="F778" s="43">
        <v>14.883</v>
      </c>
      <c r="G778" s="162"/>
      <c r="H778" s="162"/>
      <c r="I778" s="58"/>
      <c r="J778" s="59">
        <f>+($F$7-$O$952-$Q$952-$P$952-$R$952-$S$952)/($F$952-$G$952*1-$H$952*0.5)*0.646*1.0268514</f>
        <v>742.8502282779862</v>
      </c>
      <c r="K778" s="60">
        <v>1.065228053001168</v>
      </c>
      <c r="L778" s="75">
        <v>1.0218906622860489</v>
      </c>
      <c r="M778" s="63">
        <f>ROUND(J778*(F778-G778-H778*I778)*K778*(0.5+0.5*L778),1)</f>
        <v>11905.9</v>
      </c>
      <c r="N778" s="63">
        <f>ROUND(M778*0.883,1)</f>
        <v>10512.9</v>
      </c>
      <c r="O778" s="62"/>
      <c r="P778" s="76"/>
      <c r="Q778" s="77"/>
      <c r="R778" s="76"/>
      <c r="S778" s="77"/>
      <c r="T778" s="64"/>
      <c r="U778" s="45">
        <f>+N778+O778+T778+R778+S778+Q778</f>
        <v>10512.9</v>
      </c>
      <c r="V778" s="65"/>
    </row>
    <row r="779" spans="1:22" ht="34.5" customHeight="1" hidden="1">
      <c r="A779" s="38">
        <v>21</v>
      </c>
      <c r="B779" s="39" t="s">
        <v>26</v>
      </c>
      <c r="C779" s="40" t="s">
        <v>49</v>
      </c>
      <c r="D779" s="55"/>
      <c r="E779" s="79" t="s">
        <v>1416</v>
      </c>
      <c r="F779" s="43">
        <f>SUM(F780:F797)</f>
        <v>605.9</v>
      </c>
      <c r="G779" s="67">
        <f>SUM(G780:G797)</f>
        <v>0</v>
      </c>
      <c r="H779" s="68">
        <f>SUM(H780:H797)</f>
        <v>0</v>
      </c>
      <c r="I779" s="69"/>
      <c r="J779" s="80"/>
      <c r="K779" s="70"/>
      <c r="L779" s="71">
        <v>0.9929300016545931</v>
      </c>
      <c r="M779" s="72">
        <f aca="true" t="shared" si="234" ref="M779:U779">SUM(M780:M797)</f>
        <v>418726.10000000003</v>
      </c>
      <c r="N779" s="72">
        <f t="shared" si="234"/>
        <v>379784.60000000003</v>
      </c>
      <c r="O779" s="72">
        <f t="shared" si="234"/>
        <v>0</v>
      </c>
      <c r="P779" s="72">
        <f t="shared" si="234"/>
        <v>0</v>
      </c>
      <c r="Q779" s="72">
        <f t="shared" si="234"/>
        <v>0</v>
      </c>
      <c r="R779" s="72">
        <f t="shared" si="234"/>
        <v>0</v>
      </c>
      <c r="S779" s="72">
        <f t="shared" si="234"/>
        <v>0</v>
      </c>
      <c r="T779" s="72">
        <f t="shared" si="234"/>
        <v>26217.5</v>
      </c>
      <c r="U779" s="72">
        <f t="shared" si="234"/>
        <v>406002.10000000003</v>
      </c>
      <c r="V779" s="73"/>
    </row>
    <row r="780" spans="1:22" ht="12.75" hidden="1">
      <c r="A780" s="52">
        <v>21</v>
      </c>
      <c r="B780" s="53" t="s">
        <v>51</v>
      </c>
      <c r="C780" s="54" t="s">
        <v>52</v>
      </c>
      <c r="D780" s="55" t="s">
        <v>1417</v>
      </c>
      <c r="E780" s="56" t="s">
        <v>1418</v>
      </c>
      <c r="F780" s="43">
        <v>47.962</v>
      </c>
      <c r="G780" s="128"/>
      <c r="H780" s="128"/>
      <c r="I780" s="58"/>
      <c r="J780" s="59">
        <f aca="true" t="shared" si="235" ref="J780:J797">+($F$7-$O$952-$Q$952-$P$952-$R$952-$S$952)/($F$952-$G$952*1-$H$952*0.5)*0.646*1.0268514</f>
        <v>742.8502282779862</v>
      </c>
      <c r="K780" s="60">
        <v>0.9336178972540682</v>
      </c>
      <c r="L780" s="75">
        <v>0.9912900118709804</v>
      </c>
      <c r="M780" s="63">
        <f aca="true" t="shared" si="236" ref="M780:M797">ROUND(J780*(F780-G780-H780*I780)*K780*(0.5+0.5*L780),1)</f>
        <v>33118.6</v>
      </c>
      <c r="N780" s="63">
        <f aca="true" t="shared" si="237" ref="N780:N797">ROUND(M780*0.907,1)</f>
        <v>30038.6</v>
      </c>
      <c r="O780" s="62"/>
      <c r="P780" s="76"/>
      <c r="Q780" s="77"/>
      <c r="R780" s="76"/>
      <c r="S780" s="77"/>
      <c r="T780" s="64"/>
      <c r="U780" s="45">
        <f aca="true" t="shared" si="238" ref="U780:U797">+N780+O780+T780+R780+S780+Q780</f>
        <v>30038.6</v>
      </c>
      <c r="V780" s="65"/>
    </row>
    <row r="781" spans="1:22" ht="12.75" hidden="1">
      <c r="A781" s="52">
        <v>21</v>
      </c>
      <c r="B781" s="53" t="s">
        <v>55</v>
      </c>
      <c r="C781" s="54" t="s">
        <v>52</v>
      </c>
      <c r="D781" s="55" t="s">
        <v>1419</v>
      </c>
      <c r="E781" s="56" t="s">
        <v>1420</v>
      </c>
      <c r="F781" s="43">
        <v>66.473</v>
      </c>
      <c r="G781" s="57"/>
      <c r="H781" s="57"/>
      <c r="I781" s="58"/>
      <c r="J781" s="59">
        <f t="shared" si="235"/>
        <v>742.8502282779862</v>
      </c>
      <c r="K781" s="60">
        <v>0.9336178972540682</v>
      </c>
      <c r="L781" s="75">
        <v>0.9872906190467028</v>
      </c>
      <c r="M781" s="63">
        <f t="shared" si="236"/>
        <v>45808.6</v>
      </c>
      <c r="N781" s="63">
        <f t="shared" si="237"/>
        <v>41548.4</v>
      </c>
      <c r="O781" s="62"/>
      <c r="P781" s="76"/>
      <c r="Q781" s="77"/>
      <c r="R781" s="76"/>
      <c r="S781" s="77"/>
      <c r="T781" s="64"/>
      <c r="U781" s="45">
        <f t="shared" si="238"/>
        <v>41548.4</v>
      </c>
      <c r="V781" s="65"/>
    </row>
    <row r="782" spans="1:22" ht="12.75" hidden="1">
      <c r="A782" s="52">
        <v>21</v>
      </c>
      <c r="B782" s="53" t="s">
        <v>58</v>
      </c>
      <c r="C782" s="54" t="s">
        <v>52</v>
      </c>
      <c r="D782" s="55" t="s">
        <v>1421</v>
      </c>
      <c r="E782" s="56" t="s">
        <v>1422</v>
      </c>
      <c r="F782" s="43">
        <v>16.797</v>
      </c>
      <c r="G782" s="57"/>
      <c r="H782" s="57"/>
      <c r="I782" s="58"/>
      <c r="J782" s="59">
        <f t="shared" si="235"/>
        <v>742.8502282779862</v>
      </c>
      <c r="K782" s="60">
        <v>0.9336178972540682</v>
      </c>
      <c r="L782" s="75">
        <v>0.998182001668851</v>
      </c>
      <c r="M782" s="63">
        <f t="shared" si="236"/>
        <v>11638.8</v>
      </c>
      <c r="N782" s="63">
        <f t="shared" si="237"/>
        <v>10556.4</v>
      </c>
      <c r="O782" s="62"/>
      <c r="P782" s="76"/>
      <c r="Q782" s="77"/>
      <c r="R782" s="76"/>
      <c r="S782" s="77"/>
      <c r="T782" s="64"/>
      <c r="U782" s="45">
        <f t="shared" si="238"/>
        <v>10556.4</v>
      </c>
      <c r="V782" s="65"/>
    </row>
    <row r="783" spans="1:22" ht="12.75" hidden="1">
      <c r="A783" s="52">
        <v>21</v>
      </c>
      <c r="B783" s="53" t="s">
        <v>61</v>
      </c>
      <c r="C783" s="54" t="s">
        <v>52</v>
      </c>
      <c r="D783" s="55" t="s">
        <v>1423</v>
      </c>
      <c r="E783" s="56" t="s">
        <v>1424</v>
      </c>
      <c r="F783" s="43">
        <v>25.892</v>
      </c>
      <c r="G783" s="57"/>
      <c r="H783" s="57"/>
      <c r="I783" s="58"/>
      <c r="J783" s="59">
        <f t="shared" si="235"/>
        <v>742.8502282779862</v>
      </c>
      <c r="K783" s="60">
        <v>0.9336178972540682</v>
      </c>
      <c r="L783" s="75">
        <v>0.9956776909626495</v>
      </c>
      <c r="M783" s="63">
        <f t="shared" si="236"/>
        <v>17918.3</v>
      </c>
      <c r="N783" s="63">
        <f t="shared" si="237"/>
        <v>16251.9</v>
      </c>
      <c r="O783" s="62"/>
      <c r="P783" s="76"/>
      <c r="Q783" s="77"/>
      <c r="R783" s="76"/>
      <c r="S783" s="77"/>
      <c r="T783" s="64"/>
      <c r="U783" s="45">
        <f t="shared" si="238"/>
        <v>16251.9</v>
      </c>
      <c r="V783" s="65"/>
    </row>
    <row r="784" spans="1:22" ht="12.75" hidden="1">
      <c r="A784" s="52">
        <v>21</v>
      </c>
      <c r="B784" s="53" t="s">
        <v>64</v>
      </c>
      <c r="C784" s="54" t="s">
        <v>52</v>
      </c>
      <c r="D784" s="55" t="s">
        <v>1425</v>
      </c>
      <c r="E784" s="56" t="s">
        <v>1426</v>
      </c>
      <c r="F784" s="43">
        <v>11.968</v>
      </c>
      <c r="G784" s="57"/>
      <c r="H784" s="57"/>
      <c r="I784" s="58"/>
      <c r="J784" s="59">
        <f t="shared" si="235"/>
        <v>742.8502282779862</v>
      </c>
      <c r="K784" s="60">
        <v>0.9336178972540682</v>
      </c>
      <c r="L784" s="75">
        <v>1.0149475217121846</v>
      </c>
      <c r="M784" s="63">
        <f t="shared" si="236"/>
        <v>8362.3</v>
      </c>
      <c r="N784" s="63">
        <f t="shared" si="237"/>
        <v>7584.6</v>
      </c>
      <c r="O784" s="62"/>
      <c r="P784" s="76"/>
      <c r="Q784" s="77"/>
      <c r="R784" s="76"/>
      <c r="S784" s="77"/>
      <c r="T784" s="64"/>
      <c r="U784" s="45">
        <f t="shared" si="238"/>
        <v>7584.6</v>
      </c>
      <c r="V784" s="65"/>
    </row>
    <row r="785" spans="1:22" ht="12.75" hidden="1">
      <c r="A785" s="52">
        <v>21</v>
      </c>
      <c r="B785" s="53">
        <v>10</v>
      </c>
      <c r="C785" s="54" t="s">
        <v>52</v>
      </c>
      <c r="D785" s="55" t="s">
        <v>1427</v>
      </c>
      <c r="E785" s="56" t="s">
        <v>1428</v>
      </c>
      <c r="F785" s="43">
        <v>11.957</v>
      </c>
      <c r="G785" s="57"/>
      <c r="H785" s="57"/>
      <c r="I785" s="58"/>
      <c r="J785" s="59">
        <f t="shared" si="235"/>
        <v>742.8502282779862</v>
      </c>
      <c r="K785" s="60">
        <v>0.9336178972540682</v>
      </c>
      <c r="L785" s="75">
        <v>0.997697558826736</v>
      </c>
      <c r="M785" s="63">
        <f t="shared" si="236"/>
        <v>8283.1</v>
      </c>
      <c r="N785" s="63">
        <f t="shared" si="237"/>
        <v>7512.8</v>
      </c>
      <c r="O785" s="62"/>
      <c r="P785" s="76"/>
      <c r="Q785" s="77"/>
      <c r="R785" s="76"/>
      <c r="S785" s="77"/>
      <c r="T785" s="64"/>
      <c r="U785" s="45">
        <f t="shared" si="238"/>
        <v>7512.8</v>
      </c>
      <c r="V785" s="65"/>
    </row>
    <row r="786" spans="1:22" ht="12.75" hidden="1">
      <c r="A786" s="52">
        <v>21</v>
      </c>
      <c r="B786" s="53">
        <v>11</v>
      </c>
      <c r="C786" s="54" t="s">
        <v>52</v>
      </c>
      <c r="D786" s="55" t="s">
        <v>1429</v>
      </c>
      <c r="E786" s="56" t="s">
        <v>1430</v>
      </c>
      <c r="F786" s="43">
        <v>59.87</v>
      </c>
      <c r="G786" s="57"/>
      <c r="H786" s="57"/>
      <c r="I786" s="58"/>
      <c r="J786" s="59">
        <f t="shared" si="235"/>
        <v>742.8502282779862</v>
      </c>
      <c r="K786" s="60">
        <v>0.9336178972540682</v>
      </c>
      <c r="L786" s="75">
        <v>0.9974893675531753</v>
      </c>
      <c r="M786" s="63">
        <f t="shared" si="236"/>
        <v>41470</v>
      </c>
      <c r="N786" s="63">
        <f t="shared" si="237"/>
        <v>37613.3</v>
      </c>
      <c r="O786" s="62"/>
      <c r="P786" s="76"/>
      <c r="Q786" s="77"/>
      <c r="R786" s="76"/>
      <c r="S786" s="77"/>
      <c r="T786" s="64"/>
      <c r="U786" s="45">
        <f t="shared" si="238"/>
        <v>37613.3</v>
      </c>
      <c r="V786" s="65"/>
    </row>
    <row r="787" spans="1:22" ht="12.75" hidden="1">
      <c r="A787" s="52">
        <v>21</v>
      </c>
      <c r="B787" s="53">
        <v>12</v>
      </c>
      <c r="C787" s="54" t="s">
        <v>52</v>
      </c>
      <c r="D787" s="55" t="s">
        <v>1431</v>
      </c>
      <c r="E787" s="56" t="s">
        <v>1432</v>
      </c>
      <c r="F787" s="43">
        <v>45.778</v>
      </c>
      <c r="G787" s="57"/>
      <c r="H787" s="57"/>
      <c r="I787" s="58"/>
      <c r="J787" s="59">
        <f t="shared" si="235"/>
        <v>742.8502282779862</v>
      </c>
      <c r="K787" s="60">
        <v>0.9336178972540682</v>
      </c>
      <c r="L787" s="75">
        <v>0.9904803433640134</v>
      </c>
      <c r="M787" s="63">
        <f t="shared" si="236"/>
        <v>31597.7</v>
      </c>
      <c r="N787" s="63">
        <f t="shared" si="237"/>
        <v>28659.1</v>
      </c>
      <c r="O787" s="62"/>
      <c r="P787" s="76"/>
      <c r="Q787" s="77"/>
      <c r="R787" s="76"/>
      <c r="S787" s="77"/>
      <c r="T787" s="64"/>
      <c r="U787" s="45">
        <f t="shared" si="238"/>
        <v>28659.1</v>
      </c>
      <c r="V787" s="65"/>
    </row>
    <row r="788" spans="1:22" ht="12.75" hidden="1">
      <c r="A788" s="52">
        <v>21</v>
      </c>
      <c r="B788" s="53">
        <v>13</v>
      </c>
      <c r="C788" s="54" t="s">
        <v>52</v>
      </c>
      <c r="D788" s="55" t="s">
        <v>1433</v>
      </c>
      <c r="E788" s="56" t="s">
        <v>1434</v>
      </c>
      <c r="F788" s="43">
        <v>19.766</v>
      </c>
      <c r="G788" s="57"/>
      <c r="H788" s="57"/>
      <c r="I788" s="58"/>
      <c r="J788" s="59">
        <f t="shared" si="235"/>
        <v>742.8502282779862</v>
      </c>
      <c r="K788" s="60">
        <v>0.9336178972540682</v>
      </c>
      <c r="L788" s="75">
        <v>0.9765842999324438</v>
      </c>
      <c r="M788" s="63">
        <f t="shared" si="236"/>
        <v>13548</v>
      </c>
      <c r="N788" s="63">
        <f t="shared" si="237"/>
        <v>12288</v>
      </c>
      <c r="O788" s="62"/>
      <c r="P788" s="76"/>
      <c r="Q788" s="77"/>
      <c r="R788" s="76"/>
      <c r="S788" s="77"/>
      <c r="T788" s="64"/>
      <c r="U788" s="45">
        <f t="shared" si="238"/>
        <v>12288</v>
      </c>
      <c r="V788" s="65"/>
    </row>
    <row r="789" spans="1:22" ht="12.75" hidden="1">
      <c r="A789" s="52">
        <v>21</v>
      </c>
      <c r="B789" s="53">
        <v>14</v>
      </c>
      <c r="C789" s="54" t="s">
        <v>52</v>
      </c>
      <c r="D789" s="55" t="s">
        <v>1435</v>
      </c>
      <c r="E789" s="56" t="s">
        <v>985</v>
      </c>
      <c r="F789" s="43">
        <v>13.954</v>
      </c>
      <c r="G789" s="57"/>
      <c r="H789" s="57"/>
      <c r="I789" s="58"/>
      <c r="J789" s="59">
        <f t="shared" si="235"/>
        <v>742.8502282779862</v>
      </c>
      <c r="K789" s="60">
        <v>0.9336178972540682</v>
      </c>
      <c r="L789" s="75">
        <v>0.9985108699452139</v>
      </c>
      <c r="M789" s="63">
        <f t="shared" si="236"/>
        <v>9670.4</v>
      </c>
      <c r="N789" s="63">
        <f t="shared" si="237"/>
        <v>8771.1</v>
      </c>
      <c r="O789" s="62"/>
      <c r="P789" s="76"/>
      <c r="Q789" s="77"/>
      <c r="R789" s="76"/>
      <c r="S789" s="77"/>
      <c r="T789" s="64"/>
      <c r="U789" s="45">
        <f t="shared" si="238"/>
        <v>8771.1</v>
      </c>
      <c r="V789" s="65"/>
    </row>
    <row r="790" spans="1:22" ht="12.75" hidden="1">
      <c r="A790" s="52">
        <v>21</v>
      </c>
      <c r="B790" s="53">
        <v>15</v>
      </c>
      <c r="C790" s="54" t="s">
        <v>52</v>
      </c>
      <c r="D790" s="55" t="s">
        <v>1436</v>
      </c>
      <c r="E790" s="56" t="s">
        <v>1437</v>
      </c>
      <c r="F790" s="43">
        <v>21.533</v>
      </c>
      <c r="G790" s="57"/>
      <c r="H790" s="57"/>
      <c r="I790" s="58"/>
      <c r="J790" s="59">
        <f t="shared" si="235"/>
        <v>742.8502282779862</v>
      </c>
      <c r="K790" s="60">
        <v>0.9336178972540682</v>
      </c>
      <c r="L790" s="75">
        <v>1.0067978346498727</v>
      </c>
      <c r="M790" s="63">
        <f t="shared" si="236"/>
        <v>14984.7</v>
      </c>
      <c r="N790" s="63">
        <f t="shared" si="237"/>
        <v>13591.1</v>
      </c>
      <c r="O790" s="62"/>
      <c r="P790" s="76"/>
      <c r="Q790" s="77"/>
      <c r="R790" s="76"/>
      <c r="S790" s="77"/>
      <c r="T790" s="64"/>
      <c r="U790" s="45">
        <f t="shared" si="238"/>
        <v>13591.1</v>
      </c>
      <c r="V790" s="65"/>
    </row>
    <row r="791" spans="1:22" ht="12.75" hidden="1">
      <c r="A791" s="52">
        <v>21</v>
      </c>
      <c r="B791" s="53">
        <v>16</v>
      </c>
      <c r="C791" s="54" t="s">
        <v>52</v>
      </c>
      <c r="D791" s="55" t="s">
        <v>1438</v>
      </c>
      <c r="E791" s="56" t="s">
        <v>1439</v>
      </c>
      <c r="F791" s="43">
        <v>35.9</v>
      </c>
      <c r="G791" s="57"/>
      <c r="H791" s="57"/>
      <c r="I791" s="58"/>
      <c r="J791" s="59">
        <f t="shared" si="235"/>
        <v>742.8502282779862</v>
      </c>
      <c r="K791" s="60">
        <v>0.9336178972540682</v>
      </c>
      <c r="L791" s="75">
        <v>0.9671586323803225</v>
      </c>
      <c r="M791" s="63">
        <f t="shared" si="236"/>
        <v>24489.2</v>
      </c>
      <c r="N791" s="63">
        <f t="shared" si="237"/>
        <v>22211.7</v>
      </c>
      <c r="O791" s="62"/>
      <c r="P791" s="76"/>
      <c r="Q791" s="77"/>
      <c r="R791" s="76"/>
      <c r="S791" s="77"/>
      <c r="T791" s="64">
        <f>ROUND(N776,1)</f>
        <v>26217.5</v>
      </c>
      <c r="U791" s="45">
        <f t="shared" si="238"/>
        <v>48429.2</v>
      </c>
      <c r="V791" s="65"/>
    </row>
    <row r="792" spans="1:22" ht="12.75" hidden="1">
      <c r="A792" s="52">
        <v>21</v>
      </c>
      <c r="B792" s="53">
        <v>17</v>
      </c>
      <c r="C792" s="54" t="s">
        <v>52</v>
      </c>
      <c r="D792" s="55" t="s">
        <v>1440</v>
      </c>
      <c r="E792" s="56" t="s">
        <v>1441</v>
      </c>
      <c r="F792" s="43">
        <v>15.945</v>
      </c>
      <c r="G792" s="57"/>
      <c r="H792" s="57"/>
      <c r="I792" s="58"/>
      <c r="J792" s="59">
        <f t="shared" si="235"/>
        <v>742.8502282779862</v>
      </c>
      <c r="K792" s="60">
        <v>0.9336178972540682</v>
      </c>
      <c r="L792" s="75">
        <v>1.0047617125939152</v>
      </c>
      <c r="M792" s="63">
        <f t="shared" si="236"/>
        <v>11084.8</v>
      </c>
      <c r="N792" s="63">
        <f t="shared" si="237"/>
        <v>10053.9</v>
      </c>
      <c r="O792" s="62"/>
      <c r="P792" s="76"/>
      <c r="Q792" s="77"/>
      <c r="R792" s="76"/>
      <c r="S792" s="77"/>
      <c r="T792" s="64"/>
      <c r="U792" s="45">
        <f t="shared" si="238"/>
        <v>10053.9</v>
      </c>
      <c r="V792" s="65"/>
    </row>
    <row r="793" spans="1:22" s="82" customFormat="1" ht="13.5" hidden="1">
      <c r="A793" s="52">
        <v>21</v>
      </c>
      <c r="B793" s="53">
        <v>18</v>
      </c>
      <c r="C793" s="54" t="s">
        <v>52</v>
      </c>
      <c r="D793" s="55" t="s">
        <v>1442</v>
      </c>
      <c r="E793" s="56" t="s">
        <v>1443</v>
      </c>
      <c r="F793" s="43">
        <v>21.387</v>
      </c>
      <c r="G793" s="57"/>
      <c r="H793" s="57"/>
      <c r="I793" s="58"/>
      <c r="J793" s="59">
        <f t="shared" si="235"/>
        <v>742.8502282779862</v>
      </c>
      <c r="K793" s="60">
        <v>0.9336178972540682</v>
      </c>
      <c r="L793" s="75">
        <v>0.9973621746976374</v>
      </c>
      <c r="M793" s="63">
        <f t="shared" si="236"/>
        <v>14813.1</v>
      </c>
      <c r="N793" s="63">
        <f t="shared" si="237"/>
        <v>13435.5</v>
      </c>
      <c r="O793" s="62"/>
      <c r="P793" s="76"/>
      <c r="Q793" s="77"/>
      <c r="R793" s="76"/>
      <c r="S793" s="77"/>
      <c r="T793" s="64"/>
      <c r="U793" s="45">
        <f t="shared" si="238"/>
        <v>13435.5</v>
      </c>
      <c r="V793" s="65"/>
    </row>
    <row r="794" spans="1:22" s="82" customFormat="1" ht="13.5" hidden="1">
      <c r="A794" s="52">
        <v>21</v>
      </c>
      <c r="B794" s="53">
        <v>19</v>
      </c>
      <c r="C794" s="54" t="s">
        <v>52</v>
      </c>
      <c r="D794" s="55" t="s">
        <v>1444</v>
      </c>
      <c r="E794" s="56" t="s">
        <v>1445</v>
      </c>
      <c r="F794" s="43">
        <v>35.858</v>
      </c>
      <c r="G794" s="57"/>
      <c r="H794" s="57"/>
      <c r="I794" s="58"/>
      <c r="J794" s="59">
        <f t="shared" si="235"/>
        <v>742.8502282779862</v>
      </c>
      <c r="K794" s="60">
        <v>0.9336178972540682</v>
      </c>
      <c r="L794" s="75">
        <v>1.0100252517267596</v>
      </c>
      <c r="M794" s="63">
        <f t="shared" si="236"/>
        <v>24993.6</v>
      </c>
      <c r="N794" s="63">
        <f t="shared" si="237"/>
        <v>22669.2</v>
      </c>
      <c r="O794" s="62"/>
      <c r="P794" s="76"/>
      <c r="Q794" s="77"/>
      <c r="R794" s="76"/>
      <c r="S794" s="77"/>
      <c r="T794" s="64"/>
      <c r="U794" s="45">
        <f t="shared" si="238"/>
        <v>22669.2</v>
      </c>
      <c r="V794" s="65"/>
    </row>
    <row r="795" spans="1:22" s="129" customFormat="1" ht="12.75" hidden="1">
      <c r="A795" s="52">
        <v>21</v>
      </c>
      <c r="B795" s="53">
        <v>20</v>
      </c>
      <c r="C795" s="54" t="s">
        <v>52</v>
      </c>
      <c r="D795" s="55" t="s">
        <v>1446</v>
      </c>
      <c r="E795" s="56" t="s">
        <v>1447</v>
      </c>
      <c r="F795" s="43">
        <v>47.883</v>
      </c>
      <c r="G795" s="57"/>
      <c r="H795" s="57"/>
      <c r="I795" s="58"/>
      <c r="J795" s="59">
        <f t="shared" si="235"/>
        <v>742.8502282779862</v>
      </c>
      <c r="K795" s="60">
        <v>0.9336178972540682</v>
      </c>
      <c r="L795" s="75">
        <v>1.0012378847724899</v>
      </c>
      <c r="M795" s="63">
        <f t="shared" si="236"/>
        <v>33229.2</v>
      </c>
      <c r="N795" s="63">
        <f t="shared" si="237"/>
        <v>30138.9</v>
      </c>
      <c r="O795" s="62"/>
      <c r="P795" s="76"/>
      <c r="Q795" s="77"/>
      <c r="R795" s="76"/>
      <c r="S795" s="77"/>
      <c r="T795" s="64"/>
      <c r="U795" s="45">
        <f t="shared" si="238"/>
        <v>30138.9</v>
      </c>
      <c r="V795" s="65"/>
    </row>
    <row r="796" spans="1:22" s="147" customFormat="1" ht="25.5" hidden="1">
      <c r="A796" s="52">
        <v>21</v>
      </c>
      <c r="B796" s="53">
        <v>21</v>
      </c>
      <c r="C796" s="54" t="s">
        <v>52</v>
      </c>
      <c r="D796" s="55" t="s">
        <v>1448</v>
      </c>
      <c r="E796" s="56" t="s">
        <v>1449</v>
      </c>
      <c r="F796" s="43">
        <v>71.833</v>
      </c>
      <c r="G796" s="57"/>
      <c r="H796" s="57"/>
      <c r="I796" s="58"/>
      <c r="J796" s="59">
        <f t="shared" si="235"/>
        <v>742.8502282779862</v>
      </c>
      <c r="K796" s="60">
        <v>0.9336178972540682</v>
      </c>
      <c r="L796" s="75">
        <v>0.9906787639891657</v>
      </c>
      <c r="M796" s="63">
        <f t="shared" si="236"/>
        <v>49586.7</v>
      </c>
      <c r="N796" s="63">
        <f t="shared" si="237"/>
        <v>44975.1</v>
      </c>
      <c r="O796" s="62"/>
      <c r="P796" s="76"/>
      <c r="Q796" s="77"/>
      <c r="R796" s="76"/>
      <c r="S796" s="77"/>
      <c r="T796" s="64"/>
      <c r="U796" s="45">
        <f t="shared" si="238"/>
        <v>44975.1</v>
      </c>
      <c r="V796" s="65"/>
    </row>
    <row r="797" spans="1:22" s="155" customFormat="1" ht="12.75" hidden="1">
      <c r="A797" s="52">
        <v>21</v>
      </c>
      <c r="B797" s="53">
        <v>22</v>
      </c>
      <c r="C797" s="54" t="s">
        <v>52</v>
      </c>
      <c r="D797" s="55" t="s">
        <v>1450</v>
      </c>
      <c r="E797" s="56" t="s">
        <v>1451</v>
      </c>
      <c r="F797" s="43">
        <v>35.144</v>
      </c>
      <c r="G797" s="57"/>
      <c r="H797" s="57"/>
      <c r="I797" s="58"/>
      <c r="J797" s="59">
        <f t="shared" si="235"/>
        <v>742.8502282779862</v>
      </c>
      <c r="K797" s="60">
        <v>0.9336178972540682</v>
      </c>
      <c r="L797" s="75">
        <v>0.9799238690078325</v>
      </c>
      <c r="M797" s="63">
        <f t="shared" si="236"/>
        <v>24129</v>
      </c>
      <c r="N797" s="63">
        <f t="shared" si="237"/>
        <v>21885</v>
      </c>
      <c r="O797" s="62"/>
      <c r="P797" s="76"/>
      <c r="Q797" s="77"/>
      <c r="R797" s="76"/>
      <c r="S797" s="77"/>
      <c r="T797" s="64"/>
      <c r="U797" s="45">
        <f t="shared" si="238"/>
        <v>21885</v>
      </c>
      <c r="V797" s="65"/>
    </row>
    <row r="798" spans="1:22" ht="26.25" hidden="1">
      <c r="A798" s="38">
        <v>21</v>
      </c>
      <c r="B798" s="39" t="s">
        <v>26</v>
      </c>
      <c r="C798" s="40" t="s">
        <v>111</v>
      </c>
      <c r="D798" s="55"/>
      <c r="E798" s="79" t="s">
        <v>112</v>
      </c>
      <c r="F798" s="43">
        <f>F799</f>
        <v>3.155</v>
      </c>
      <c r="G798" s="83">
        <f>SUM(G799)</f>
        <v>0</v>
      </c>
      <c r="H798" s="83">
        <f>SUM(H799)</f>
        <v>0</v>
      </c>
      <c r="I798" s="122"/>
      <c r="J798" s="123"/>
      <c r="K798" s="122"/>
      <c r="L798" s="84">
        <v>0</v>
      </c>
      <c r="M798" s="85">
        <f aca="true" t="shared" si="239" ref="M798:U798">SUM(M799)</f>
        <v>2185.6</v>
      </c>
      <c r="N798" s="85">
        <f t="shared" si="239"/>
        <v>1982.3</v>
      </c>
      <c r="O798" s="85">
        <f t="shared" si="239"/>
        <v>0</v>
      </c>
      <c r="P798" s="85">
        <f t="shared" si="239"/>
        <v>0</v>
      </c>
      <c r="Q798" s="85">
        <f t="shared" si="239"/>
        <v>0</v>
      </c>
      <c r="R798" s="85">
        <f t="shared" si="239"/>
        <v>0</v>
      </c>
      <c r="S798" s="85">
        <f t="shared" si="239"/>
        <v>0</v>
      </c>
      <c r="T798" s="85">
        <f t="shared" si="239"/>
        <v>0</v>
      </c>
      <c r="U798" s="85">
        <f t="shared" si="239"/>
        <v>1982.3</v>
      </c>
      <c r="V798" s="153"/>
    </row>
    <row r="799" spans="1:22" s="82" customFormat="1" ht="26.25" hidden="1">
      <c r="A799" s="52">
        <v>21</v>
      </c>
      <c r="B799" s="53">
        <v>23</v>
      </c>
      <c r="C799" s="54" t="s">
        <v>113</v>
      </c>
      <c r="D799" s="55" t="s">
        <v>1452</v>
      </c>
      <c r="E799" s="56" t="s">
        <v>1453</v>
      </c>
      <c r="F799" s="43">
        <v>3.155</v>
      </c>
      <c r="G799" s="57"/>
      <c r="H799" s="57"/>
      <c r="I799" s="58"/>
      <c r="J799" s="59">
        <f>+($F$7-$O$952-$Q$952-$P$952-$R$952-$S$952)/($F$952-$G$952*1-$H$952*0.5)*0.646*1.0268514</f>
        <v>742.8502282779862</v>
      </c>
      <c r="K799" s="60">
        <v>0.9336178972540682</v>
      </c>
      <c r="L799" s="75">
        <v>0.997697558826736</v>
      </c>
      <c r="M799" s="63">
        <f>ROUND(J799*(F799-G799-H799*I799)*K799*(0.5+0.5*L799),1)</f>
        <v>2185.6</v>
      </c>
      <c r="N799" s="63">
        <f>ROUND(M799*0.907,1)</f>
        <v>1982.3</v>
      </c>
      <c r="O799" s="62"/>
      <c r="P799" s="76"/>
      <c r="Q799" s="77"/>
      <c r="R799" s="76"/>
      <c r="S799" s="77"/>
      <c r="T799" s="64"/>
      <c r="U799" s="45">
        <f>+N799+O799+T799+R799+S799+Q799</f>
        <v>1982.3</v>
      </c>
      <c r="V799" s="65"/>
    </row>
    <row r="800" spans="1:22" s="129" customFormat="1" ht="25.5" hidden="1">
      <c r="A800" s="170">
        <v>22</v>
      </c>
      <c r="B800" s="167" t="s">
        <v>26</v>
      </c>
      <c r="C800" s="40" t="s">
        <v>27</v>
      </c>
      <c r="D800" s="55"/>
      <c r="E800" s="168" t="s">
        <v>1454</v>
      </c>
      <c r="F800" s="43">
        <f>F801+F802+F809+F830</f>
        <v>1294.413</v>
      </c>
      <c r="G800" s="44">
        <f>+G801+G802+G809+G830</f>
        <v>0</v>
      </c>
      <c r="H800" s="44">
        <f>+H801+H802+H809+H830</f>
        <v>0</v>
      </c>
      <c r="I800" s="45"/>
      <c r="J800" s="46"/>
      <c r="K800" s="47"/>
      <c r="L800" s="48">
        <v>1.0178741580722812</v>
      </c>
      <c r="M800" s="49">
        <f aca="true" t="shared" si="240" ref="M800:U800">+M801+M802+M809+M830</f>
        <v>1447498.6</v>
      </c>
      <c r="N800" s="49">
        <f t="shared" si="240"/>
        <v>1447498.6</v>
      </c>
      <c r="O800" s="49">
        <f t="shared" si="240"/>
        <v>0</v>
      </c>
      <c r="P800" s="49">
        <f t="shared" si="240"/>
        <v>166.1</v>
      </c>
      <c r="Q800" s="49">
        <f t="shared" si="240"/>
        <v>22723.5</v>
      </c>
      <c r="R800" s="49">
        <f t="shared" si="240"/>
        <v>44220.8</v>
      </c>
      <c r="S800" s="49">
        <f t="shared" si="240"/>
        <v>234.6</v>
      </c>
      <c r="T800" s="49">
        <f t="shared" si="240"/>
        <v>0</v>
      </c>
      <c r="U800" s="49">
        <f t="shared" si="240"/>
        <v>1514843.6</v>
      </c>
      <c r="V800" s="65"/>
    </row>
    <row r="801" spans="1:22" ht="12.75" hidden="1">
      <c r="A801" s="52">
        <v>22</v>
      </c>
      <c r="B801" s="53" t="s">
        <v>26</v>
      </c>
      <c r="C801" s="54" t="s">
        <v>29</v>
      </c>
      <c r="D801" s="55" t="s">
        <v>1455</v>
      </c>
      <c r="E801" s="56" t="s">
        <v>31</v>
      </c>
      <c r="F801" s="43">
        <v>0</v>
      </c>
      <c r="G801" s="128"/>
      <c r="H801" s="128"/>
      <c r="I801" s="58"/>
      <c r="J801" s="59">
        <f>+($F$7-$O$952-$Q$952-$P$952-R$952-$S$952)/$F$952*0.354*0.951</f>
        <v>376.76602120660414</v>
      </c>
      <c r="K801" s="60">
        <v>0</v>
      </c>
      <c r="L801" s="48">
        <v>1.0178741580722812</v>
      </c>
      <c r="M801" s="49">
        <f>ROUND(J801*(F802+F809+F830)*(0.5+0.5*L801),1)</f>
        <v>492049.4</v>
      </c>
      <c r="N801" s="49">
        <f>M801+ROUND(SUM(M803:M808)*0.117+SUM(M810:M829)*0.093+SUM(M831:M852)*0.093,1)+0.3</f>
        <v>590577.2000000001</v>
      </c>
      <c r="O801" s="61"/>
      <c r="P801" s="62">
        <v>166.1</v>
      </c>
      <c r="Q801" s="63">
        <v>22723.5</v>
      </c>
      <c r="R801" s="62">
        <v>44220.8</v>
      </c>
      <c r="S801" s="63">
        <v>234.6</v>
      </c>
      <c r="T801" s="64"/>
      <c r="U801" s="45">
        <f>N801+O801+P801+Q801+R801+S801+T801</f>
        <v>657922.2000000001</v>
      </c>
      <c r="V801" s="65"/>
    </row>
    <row r="802" spans="1:22" ht="13.5" hidden="1">
      <c r="A802" s="38">
        <v>22</v>
      </c>
      <c r="B802" s="39" t="s">
        <v>26</v>
      </c>
      <c r="C802" s="40" t="s">
        <v>33</v>
      </c>
      <c r="D802" s="55"/>
      <c r="E802" s="79" t="s">
        <v>34</v>
      </c>
      <c r="F802" s="43">
        <f>SUM(F803:F808)</f>
        <v>521.562</v>
      </c>
      <c r="G802" s="67">
        <f>SUM(G803:G808)</f>
        <v>0</v>
      </c>
      <c r="H802" s="68">
        <f>SUM(H803:H808)</f>
        <v>0</v>
      </c>
      <c r="I802" s="69"/>
      <c r="J802" s="59"/>
      <c r="K802" s="70"/>
      <c r="L802" s="71">
        <v>0.9526735774695689</v>
      </c>
      <c r="M802" s="72">
        <f aca="true" t="shared" si="241" ref="M802:U802">SUM(M803:M808)</f>
        <v>402948.00000000006</v>
      </c>
      <c r="N802" s="72">
        <f t="shared" si="241"/>
        <v>355803.10000000003</v>
      </c>
      <c r="O802" s="72">
        <f t="shared" si="241"/>
        <v>0</v>
      </c>
      <c r="P802" s="72">
        <f t="shared" si="241"/>
        <v>0</v>
      </c>
      <c r="Q802" s="72">
        <f t="shared" si="241"/>
        <v>0</v>
      </c>
      <c r="R802" s="72">
        <f t="shared" si="241"/>
        <v>0</v>
      </c>
      <c r="S802" s="72">
        <f t="shared" si="241"/>
        <v>0</v>
      </c>
      <c r="T802" s="72">
        <f t="shared" si="241"/>
        <v>0</v>
      </c>
      <c r="U802" s="72">
        <f t="shared" si="241"/>
        <v>355803.10000000003</v>
      </c>
      <c r="V802" s="73"/>
    </row>
    <row r="803" spans="1:22" ht="12.75" hidden="1">
      <c r="A803" s="52">
        <v>22</v>
      </c>
      <c r="B803" s="53" t="s">
        <v>35</v>
      </c>
      <c r="C803" s="54" t="s">
        <v>36</v>
      </c>
      <c r="D803" s="55" t="s">
        <v>1456</v>
      </c>
      <c r="E803" s="74" t="s">
        <v>1457</v>
      </c>
      <c r="F803" s="43">
        <v>269.113</v>
      </c>
      <c r="G803" s="162"/>
      <c r="H803" s="162"/>
      <c r="I803" s="58"/>
      <c r="J803" s="59">
        <f aca="true" t="shared" si="242" ref="J803:J808">+($F$7-$O$952-$Q$952-$P$952-$R$952-$S$952)/($F$952-$G$952*1-$H$952*0.5)*0.646*1.0268514</f>
        <v>742.8502282779862</v>
      </c>
      <c r="K803" s="60">
        <v>1.065228053001168</v>
      </c>
      <c r="L803" s="75">
        <v>0.9508758368556067</v>
      </c>
      <c r="M803" s="63">
        <f aca="true" t="shared" si="243" ref="M803:M808">ROUND(J803*(F803-G803-H803*I803)*K803*(0.5+0.5*L803),1)</f>
        <v>207719.9</v>
      </c>
      <c r="N803" s="63">
        <f aca="true" t="shared" si="244" ref="N803:N808">ROUND(M803*0.883,1)</f>
        <v>183416.7</v>
      </c>
      <c r="O803" s="62"/>
      <c r="P803" s="76"/>
      <c r="Q803" s="77"/>
      <c r="R803" s="76"/>
      <c r="S803" s="77"/>
      <c r="T803" s="64"/>
      <c r="U803" s="45">
        <f aca="true" t="shared" si="245" ref="U803:U808">+N803+O803+T803+R803+S803+Q803</f>
        <v>183416.7</v>
      </c>
      <c r="V803" s="65"/>
    </row>
    <row r="804" spans="1:22" ht="12.75" hidden="1">
      <c r="A804" s="52">
        <v>22</v>
      </c>
      <c r="B804" s="53" t="s">
        <v>32</v>
      </c>
      <c r="C804" s="54" t="s">
        <v>36</v>
      </c>
      <c r="D804" s="55" t="s">
        <v>1458</v>
      </c>
      <c r="E804" s="78" t="s">
        <v>1459</v>
      </c>
      <c r="F804" s="43">
        <v>101.235</v>
      </c>
      <c r="G804" s="57"/>
      <c r="H804" s="57"/>
      <c r="I804" s="58"/>
      <c r="J804" s="59">
        <f t="shared" si="242"/>
        <v>742.8502282779862</v>
      </c>
      <c r="K804" s="60">
        <v>1.065228053001168</v>
      </c>
      <c r="L804" s="75">
        <v>0.9508971256557583</v>
      </c>
      <c r="M804" s="63">
        <f t="shared" si="243"/>
        <v>78141</v>
      </c>
      <c r="N804" s="63">
        <f t="shared" si="244"/>
        <v>68998.5</v>
      </c>
      <c r="O804" s="62"/>
      <c r="P804" s="76"/>
      <c r="Q804" s="77"/>
      <c r="R804" s="76"/>
      <c r="S804" s="77"/>
      <c r="T804" s="64"/>
      <c r="U804" s="45">
        <f t="shared" si="245"/>
        <v>68998.5</v>
      </c>
      <c r="V804" s="65"/>
    </row>
    <row r="805" spans="1:22" ht="12.75" hidden="1">
      <c r="A805" s="52">
        <v>22</v>
      </c>
      <c r="B805" s="53" t="s">
        <v>118</v>
      </c>
      <c r="C805" s="54" t="s">
        <v>36</v>
      </c>
      <c r="D805" s="55" t="s">
        <v>1460</v>
      </c>
      <c r="E805" s="78" t="s">
        <v>1461</v>
      </c>
      <c r="F805" s="43">
        <v>37.014</v>
      </c>
      <c r="G805" s="57"/>
      <c r="H805" s="57"/>
      <c r="I805" s="58"/>
      <c r="J805" s="59">
        <f t="shared" si="242"/>
        <v>742.8502282779862</v>
      </c>
      <c r="K805" s="60">
        <v>1.065228053001168</v>
      </c>
      <c r="L805" s="75">
        <v>0.9090776526113381</v>
      </c>
      <c r="M805" s="63">
        <f t="shared" si="243"/>
        <v>27957.8</v>
      </c>
      <c r="N805" s="63">
        <f t="shared" si="244"/>
        <v>24686.7</v>
      </c>
      <c r="O805" s="62"/>
      <c r="P805" s="76"/>
      <c r="Q805" s="77"/>
      <c r="R805" s="76"/>
      <c r="S805" s="77"/>
      <c r="T805" s="64"/>
      <c r="U805" s="45">
        <f t="shared" si="245"/>
        <v>24686.7</v>
      </c>
      <c r="V805" s="65"/>
    </row>
    <row r="806" spans="1:22" ht="12.75" hidden="1">
      <c r="A806" s="52">
        <v>22</v>
      </c>
      <c r="B806" s="53" t="s">
        <v>127</v>
      </c>
      <c r="C806" s="54" t="s">
        <v>36</v>
      </c>
      <c r="D806" s="55" t="s">
        <v>1462</v>
      </c>
      <c r="E806" s="78" t="s">
        <v>1463</v>
      </c>
      <c r="F806" s="43">
        <v>36.054</v>
      </c>
      <c r="G806" s="57"/>
      <c r="H806" s="57"/>
      <c r="I806" s="58"/>
      <c r="J806" s="59">
        <f t="shared" si="242"/>
        <v>742.8502282779862</v>
      </c>
      <c r="K806" s="60">
        <v>1.065228053001168</v>
      </c>
      <c r="L806" s="75">
        <v>0.9549035442899185</v>
      </c>
      <c r="M806" s="63">
        <f t="shared" si="243"/>
        <v>27886.4</v>
      </c>
      <c r="N806" s="63">
        <f t="shared" si="244"/>
        <v>24623.7</v>
      </c>
      <c r="O806" s="62"/>
      <c r="P806" s="76"/>
      <c r="Q806" s="77"/>
      <c r="R806" s="76"/>
      <c r="S806" s="77"/>
      <c r="T806" s="64"/>
      <c r="U806" s="45">
        <f t="shared" si="245"/>
        <v>24623.7</v>
      </c>
      <c r="V806" s="65"/>
    </row>
    <row r="807" spans="1:22" ht="12.75" hidden="1">
      <c r="A807" s="52">
        <v>22</v>
      </c>
      <c r="B807" s="53" t="s">
        <v>51</v>
      </c>
      <c r="C807" s="54" t="s">
        <v>36</v>
      </c>
      <c r="D807" s="55" t="s">
        <v>1464</v>
      </c>
      <c r="E807" s="78" t="s">
        <v>1465</v>
      </c>
      <c r="F807" s="43">
        <v>35.288</v>
      </c>
      <c r="G807" s="57"/>
      <c r="H807" s="57"/>
      <c r="I807" s="58"/>
      <c r="J807" s="59">
        <f t="shared" si="242"/>
        <v>742.8502282779862</v>
      </c>
      <c r="K807" s="60">
        <v>1.065228053001168</v>
      </c>
      <c r="L807" s="75">
        <v>0.9697500890260864</v>
      </c>
      <c r="M807" s="63">
        <f t="shared" si="243"/>
        <v>27501.2</v>
      </c>
      <c r="N807" s="63">
        <f t="shared" si="244"/>
        <v>24283.6</v>
      </c>
      <c r="O807" s="62"/>
      <c r="P807" s="76"/>
      <c r="Q807" s="77"/>
      <c r="R807" s="76"/>
      <c r="S807" s="77"/>
      <c r="T807" s="64"/>
      <c r="U807" s="45">
        <f t="shared" si="245"/>
        <v>24283.6</v>
      </c>
      <c r="V807" s="65"/>
    </row>
    <row r="808" spans="1:22" ht="12.75" hidden="1">
      <c r="A808" s="52">
        <v>22</v>
      </c>
      <c r="B808" s="53" t="s">
        <v>55</v>
      </c>
      <c r="C808" s="54" t="s">
        <v>36</v>
      </c>
      <c r="D808" s="55" t="s">
        <v>1466</v>
      </c>
      <c r="E808" s="78" t="s">
        <v>1467</v>
      </c>
      <c r="F808" s="43">
        <v>42.858</v>
      </c>
      <c r="G808" s="57"/>
      <c r="H808" s="57"/>
      <c r="I808" s="58"/>
      <c r="J808" s="59">
        <f t="shared" si="242"/>
        <v>742.8502282779862</v>
      </c>
      <c r="K808" s="60">
        <v>1.065228053001168</v>
      </c>
      <c r="L808" s="75">
        <v>0.9898566515114811</v>
      </c>
      <c r="M808" s="63">
        <f t="shared" si="243"/>
        <v>33741.7</v>
      </c>
      <c r="N808" s="63">
        <f t="shared" si="244"/>
        <v>29793.9</v>
      </c>
      <c r="O808" s="62"/>
      <c r="P808" s="76"/>
      <c r="Q808" s="77"/>
      <c r="R808" s="76"/>
      <c r="S808" s="77"/>
      <c r="T808" s="64"/>
      <c r="U808" s="45">
        <f t="shared" si="245"/>
        <v>29793.9</v>
      </c>
      <c r="V808" s="65"/>
    </row>
    <row r="809" spans="1:22" ht="31.5" customHeight="1" hidden="1">
      <c r="A809" s="38">
        <v>22</v>
      </c>
      <c r="B809" s="39" t="s">
        <v>26</v>
      </c>
      <c r="C809" s="40" t="s">
        <v>49</v>
      </c>
      <c r="D809" s="55"/>
      <c r="E809" s="79" t="s">
        <v>50</v>
      </c>
      <c r="F809" s="43">
        <f>SUM(F810:F829)</f>
        <v>476.413</v>
      </c>
      <c r="G809" s="67">
        <f>SUM(G810:G829)</f>
        <v>0</v>
      </c>
      <c r="H809" s="68">
        <f>SUM(H810:H829)</f>
        <v>0</v>
      </c>
      <c r="I809" s="69"/>
      <c r="J809" s="80"/>
      <c r="K809" s="70"/>
      <c r="L809" s="71">
        <v>1.0614905146848137</v>
      </c>
      <c r="M809" s="72">
        <f aca="true" t="shared" si="246" ref="M809:U809">SUM(M810:M829)</f>
        <v>340486.49999999994</v>
      </c>
      <c r="N809" s="72">
        <f t="shared" si="246"/>
        <v>308821.00000000006</v>
      </c>
      <c r="O809" s="72">
        <f t="shared" si="246"/>
        <v>0</v>
      </c>
      <c r="P809" s="72">
        <f t="shared" si="246"/>
        <v>0</v>
      </c>
      <c r="Q809" s="72">
        <f t="shared" si="246"/>
        <v>0</v>
      </c>
      <c r="R809" s="72">
        <f t="shared" si="246"/>
        <v>0</v>
      </c>
      <c r="S809" s="72">
        <f t="shared" si="246"/>
        <v>0</v>
      </c>
      <c r="T809" s="72">
        <f t="shared" si="246"/>
        <v>0</v>
      </c>
      <c r="U809" s="72">
        <f t="shared" si="246"/>
        <v>308821.00000000006</v>
      </c>
      <c r="V809" s="73"/>
    </row>
    <row r="810" spans="1:22" ht="12.75" hidden="1">
      <c r="A810" s="52">
        <v>22</v>
      </c>
      <c r="B810" s="53" t="s">
        <v>58</v>
      </c>
      <c r="C810" s="54" t="s">
        <v>52</v>
      </c>
      <c r="D810" s="55" t="s">
        <v>1468</v>
      </c>
      <c r="E810" s="56" t="s">
        <v>1469</v>
      </c>
      <c r="F810" s="43">
        <v>26.926</v>
      </c>
      <c r="G810" s="128"/>
      <c r="H810" s="128"/>
      <c r="I810" s="58"/>
      <c r="J810" s="59">
        <f aca="true" t="shared" si="247" ref="J810:J829">+($F$7-$O$952-$Q$952-$P$952-$R$952-$S$952)/($F$952-$G$952*1-$H$952*0.5)*0.646*1.0268514</f>
        <v>742.8502282779862</v>
      </c>
      <c r="K810" s="60">
        <v>0.9336178972540682</v>
      </c>
      <c r="L810" s="75">
        <v>1.0232352940576488</v>
      </c>
      <c r="M810" s="63">
        <f aca="true" t="shared" si="248" ref="M810:M829">ROUND(J810*(F810-G810-H810*I810)*K810*(0.5+0.5*L810),1)</f>
        <v>18891.2</v>
      </c>
      <c r="N810" s="63">
        <f aca="true" t="shared" si="249" ref="N810:N829">ROUND(M810*0.907,1)</f>
        <v>17134.3</v>
      </c>
      <c r="O810" s="62"/>
      <c r="P810" s="76"/>
      <c r="Q810" s="77"/>
      <c r="R810" s="76"/>
      <c r="S810" s="77"/>
      <c r="T810" s="64"/>
      <c r="U810" s="45">
        <f aca="true" t="shared" si="250" ref="U810:U829">+N810+O810+T810+R810+S810+Q810</f>
        <v>17134.3</v>
      </c>
      <c r="V810" s="65"/>
    </row>
    <row r="811" spans="1:22" s="82" customFormat="1" ht="13.5" hidden="1">
      <c r="A811" s="52">
        <v>22</v>
      </c>
      <c r="B811" s="53" t="s">
        <v>61</v>
      </c>
      <c r="C811" s="54" t="s">
        <v>52</v>
      </c>
      <c r="D811" s="55" t="s">
        <v>1470</v>
      </c>
      <c r="E811" s="56" t="s">
        <v>1471</v>
      </c>
      <c r="F811" s="43">
        <v>24.349</v>
      </c>
      <c r="G811" s="57"/>
      <c r="H811" s="57"/>
      <c r="I811" s="58"/>
      <c r="J811" s="59">
        <f t="shared" si="247"/>
        <v>742.8502282779862</v>
      </c>
      <c r="K811" s="60">
        <v>0.9336178972540682</v>
      </c>
      <c r="L811" s="75">
        <v>1.087004123382671</v>
      </c>
      <c r="M811" s="63">
        <f t="shared" si="248"/>
        <v>17621.6</v>
      </c>
      <c r="N811" s="63">
        <f t="shared" si="249"/>
        <v>15982.8</v>
      </c>
      <c r="O811" s="62"/>
      <c r="P811" s="76"/>
      <c r="Q811" s="77"/>
      <c r="R811" s="76"/>
      <c r="S811" s="77"/>
      <c r="T811" s="64"/>
      <c r="U811" s="45">
        <f t="shared" si="250"/>
        <v>15982.8</v>
      </c>
      <c r="V811" s="65"/>
    </row>
    <row r="812" spans="1:22" s="82" customFormat="1" ht="13.5" hidden="1">
      <c r="A812" s="52">
        <v>22</v>
      </c>
      <c r="B812" s="53" t="s">
        <v>64</v>
      </c>
      <c r="C812" s="54" t="s">
        <v>52</v>
      </c>
      <c r="D812" s="55" t="s">
        <v>1472</v>
      </c>
      <c r="E812" s="56" t="s">
        <v>1473</v>
      </c>
      <c r="F812" s="43">
        <v>4.57</v>
      </c>
      <c r="G812" s="57"/>
      <c r="H812" s="57"/>
      <c r="I812" s="58"/>
      <c r="J812" s="59">
        <f t="shared" si="247"/>
        <v>742.8502282779862</v>
      </c>
      <c r="K812" s="60">
        <v>0.9336178972540682</v>
      </c>
      <c r="L812" s="75">
        <v>1.0603648809042967</v>
      </c>
      <c r="M812" s="63">
        <f t="shared" si="248"/>
        <v>3265.1</v>
      </c>
      <c r="N812" s="63">
        <f t="shared" si="249"/>
        <v>2961.4</v>
      </c>
      <c r="O812" s="62"/>
      <c r="P812" s="76"/>
      <c r="Q812" s="77"/>
      <c r="R812" s="76"/>
      <c r="S812" s="77"/>
      <c r="T812" s="64"/>
      <c r="U812" s="45">
        <f t="shared" si="250"/>
        <v>2961.4</v>
      </c>
      <c r="V812" s="65"/>
    </row>
    <row r="813" spans="1:22" s="129" customFormat="1" ht="12.75" hidden="1">
      <c r="A813" s="52">
        <v>22</v>
      </c>
      <c r="B813" s="53">
        <v>10</v>
      </c>
      <c r="C813" s="54" t="s">
        <v>52</v>
      </c>
      <c r="D813" s="55" t="s">
        <v>1474</v>
      </c>
      <c r="E813" s="56" t="s">
        <v>837</v>
      </c>
      <c r="F813" s="43">
        <v>40.115</v>
      </c>
      <c r="G813" s="57"/>
      <c r="H813" s="57"/>
      <c r="I813" s="58"/>
      <c r="J813" s="59">
        <f t="shared" si="247"/>
        <v>742.8502282779862</v>
      </c>
      <c r="K813" s="60">
        <v>0.9336178972540682</v>
      </c>
      <c r="L813" s="75">
        <v>1.0728896132151078</v>
      </c>
      <c r="M813" s="63">
        <f t="shared" si="248"/>
        <v>28835.2</v>
      </c>
      <c r="N813" s="63">
        <f t="shared" si="249"/>
        <v>26153.5</v>
      </c>
      <c r="O813" s="62"/>
      <c r="P813" s="76"/>
      <c r="Q813" s="77"/>
      <c r="R813" s="76"/>
      <c r="S813" s="77"/>
      <c r="T813" s="64"/>
      <c r="U813" s="45">
        <f t="shared" si="250"/>
        <v>26153.5</v>
      </c>
      <c r="V813" s="65"/>
    </row>
    <row r="814" spans="1:22" s="91" customFormat="1" ht="12.75" hidden="1">
      <c r="A814" s="52">
        <v>22</v>
      </c>
      <c r="B814" s="53">
        <v>11</v>
      </c>
      <c r="C814" s="54" t="s">
        <v>52</v>
      </c>
      <c r="D814" s="55" t="s">
        <v>1475</v>
      </c>
      <c r="E814" s="56" t="s">
        <v>1476</v>
      </c>
      <c r="F814" s="43">
        <v>32.139</v>
      </c>
      <c r="G814" s="57"/>
      <c r="H814" s="57"/>
      <c r="I814" s="58"/>
      <c r="J814" s="59">
        <f t="shared" si="247"/>
        <v>742.8502282779862</v>
      </c>
      <c r="K814" s="60">
        <v>0.9336178972540682</v>
      </c>
      <c r="L814" s="75">
        <v>1.0452783804236596</v>
      </c>
      <c r="M814" s="63">
        <f t="shared" si="248"/>
        <v>22794.2</v>
      </c>
      <c r="N814" s="63">
        <f t="shared" si="249"/>
        <v>20674.3</v>
      </c>
      <c r="O814" s="62"/>
      <c r="P814" s="76"/>
      <c r="Q814" s="77"/>
      <c r="R814" s="76"/>
      <c r="S814" s="77"/>
      <c r="T814" s="64"/>
      <c r="U814" s="45">
        <f t="shared" si="250"/>
        <v>20674.3</v>
      </c>
      <c r="V814" s="65"/>
    </row>
    <row r="815" spans="1:22" s="155" customFormat="1" ht="12.75" hidden="1">
      <c r="A815" s="52">
        <v>22</v>
      </c>
      <c r="B815" s="53">
        <v>12</v>
      </c>
      <c r="C815" s="54" t="s">
        <v>52</v>
      </c>
      <c r="D815" s="55" t="s">
        <v>1477</v>
      </c>
      <c r="E815" s="56" t="s">
        <v>1478</v>
      </c>
      <c r="F815" s="43">
        <v>6.647</v>
      </c>
      <c r="G815" s="57"/>
      <c r="H815" s="57"/>
      <c r="I815" s="58"/>
      <c r="J815" s="59">
        <f t="shared" si="247"/>
        <v>742.8502282779862</v>
      </c>
      <c r="K815" s="60">
        <v>0.9336178972540682</v>
      </c>
      <c r="L815" s="75">
        <v>1.0618206361467033</v>
      </c>
      <c r="M815" s="63">
        <f t="shared" si="248"/>
        <v>4752.4</v>
      </c>
      <c r="N815" s="63">
        <f t="shared" si="249"/>
        <v>4310.4</v>
      </c>
      <c r="O815" s="62"/>
      <c r="P815" s="76"/>
      <c r="Q815" s="77"/>
      <c r="R815" s="76"/>
      <c r="S815" s="77"/>
      <c r="T815" s="64"/>
      <c r="U815" s="45">
        <f t="shared" si="250"/>
        <v>4310.4</v>
      </c>
      <c r="V815" s="65"/>
    </row>
    <row r="816" spans="1:22" ht="12.75" hidden="1">
      <c r="A816" s="52">
        <v>22</v>
      </c>
      <c r="B816" s="53">
        <v>13</v>
      </c>
      <c r="C816" s="54" t="s">
        <v>52</v>
      </c>
      <c r="D816" s="55" t="s">
        <v>1479</v>
      </c>
      <c r="E816" s="56" t="s">
        <v>1480</v>
      </c>
      <c r="F816" s="43">
        <v>44.507</v>
      </c>
      <c r="G816" s="57"/>
      <c r="H816" s="57"/>
      <c r="I816" s="58"/>
      <c r="J816" s="59">
        <f t="shared" si="247"/>
        <v>742.8502282779862</v>
      </c>
      <c r="K816" s="60">
        <v>0.9336178972540682</v>
      </c>
      <c r="L816" s="75">
        <v>1.032480164552747</v>
      </c>
      <c r="M816" s="63">
        <f t="shared" si="248"/>
        <v>31368.6</v>
      </c>
      <c r="N816" s="63">
        <f t="shared" si="249"/>
        <v>28451.3</v>
      </c>
      <c r="O816" s="62"/>
      <c r="P816" s="76"/>
      <c r="Q816" s="77"/>
      <c r="R816" s="76"/>
      <c r="S816" s="77"/>
      <c r="T816" s="64"/>
      <c r="U816" s="45">
        <f t="shared" si="250"/>
        <v>28451.3</v>
      </c>
      <c r="V816" s="65"/>
    </row>
    <row r="817" spans="1:22" ht="12.75" hidden="1">
      <c r="A817" s="52">
        <v>22</v>
      </c>
      <c r="B817" s="53">
        <v>14</v>
      </c>
      <c r="C817" s="54" t="s">
        <v>52</v>
      </c>
      <c r="D817" s="55" t="s">
        <v>1481</v>
      </c>
      <c r="E817" s="56" t="s">
        <v>1482</v>
      </c>
      <c r="F817" s="43">
        <v>44.515</v>
      </c>
      <c r="G817" s="57"/>
      <c r="H817" s="57"/>
      <c r="I817" s="58"/>
      <c r="J817" s="59">
        <f t="shared" si="247"/>
        <v>742.8502282779862</v>
      </c>
      <c r="K817" s="60">
        <v>0.9336178972540682</v>
      </c>
      <c r="L817" s="75">
        <v>1.0734998532108826</v>
      </c>
      <c r="M817" s="63">
        <f t="shared" si="248"/>
        <v>32007.4</v>
      </c>
      <c r="N817" s="63">
        <f t="shared" si="249"/>
        <v>29030.7</v>
      </c>
      <c r="O817" s="62"/>
      <c r="P817" s="76"/>
      <c r="Q817" s="77"/>
      <c r="R817" s="76"/>
      <c r="S817" s="77"/>
      <c r="T817" s="64"/>
      <c r="U817" s="45">
        <f t="shared" si="250"/>
        <v>29030.7</v>
      </c>
      <c r="V817" s="65"/>
    </row>
    <row r="818" spans="1:22" ht="12.75" hidden="1">
      <c r="A818" s="52">
        <v>22</v>
      </c>
      <c r="B818" s="53">
        <v>15</v>
      </c>
      <c r="C818" s="54" t="s">
        <v>52</v>
      </c>
      <c r="D818" s="55" t="s">
        <v>1483</v>
      </c>
      <c r="E818" s="56" t="s">
        <v>1484</v>
      </c>
      <c r="F818" s="43">
        <v>52.109</v>
      </c>
      <c r="G818" s="57"/>
      <c r="H818" s="57"/>
      <c r="I818" s="58"/>
      <c r="J818" s="59">
        <f t="shared" si="247"/>
        <v>742.8502282779862</v>
      </c>
      <c r="K818" s="60">
        <v>0.9336178972540682</v>
      </c>
      <c r="L818" s="75">
        <v>1.0515405228700874</v>
      </c>
      <c r="M818" s="63">
        <f t="shared" si="248"/>
        <v>37070.9</v>
      </c>
      <c r="N818" s="63">
        <f t="shared" si="249"/>
        <v>33623.3</v>
      </c>
      <c r="O818" s="62"/>
      <c r="P818" s="76"/>
      <c r="Q818" s="77"/>
      <c r="R818" s="76"/>
      <c r="S818" s="77"/>
      <c r="T818" s="64"/>
      <c r="U818" s="45">
        <f t="shared" si="250"/>
        <v>33623.3</v>
      </c>
      <c r="V818" s="65"/>
    </row>
    <row r="819" spans="1:22" s="82" customFormat="1" ht="13.5" hidden="1">
      <c r="A819" s="52">
        <v>22</v>
      </c>
      <c r="B819" s="53">
        <v>16</v>
      </c>
      <c r="C819" s="54" t="s">
        <v>52</v>
      </c>
      <c r="D819" s="55" t="s">
        <v>1485</v>
      </c>
      <c r="E819" s="56" t="s">
        <v>1486</v>
      </c>
      <c r="F819" s="43">
        <v>0</v>
      </c>
      <c r="G819" s="57"/>
      <c r="H819" s="57"/>
      <c r="I819" s="58"/>
      <c r="J819" s="59">
        <f t="shared" si="247"/>
        <v>742.8502282779862</v>
      </c>
      <c r="K819" s="60">
        <v>0.9336178972540682</v>
      </c>
      <c r="L819" s="75">
        <v>1.0744498751766696</v>
      </c>
      <c r="M819" s="63">
        <f t="shared" si="248"/>
        <v>0</v>
      </c>
      <c r="N819" s="63">
        <f t="shared" si="249"/>
        <v>0</v>
      </c>
      <c r="O819" s="62"/>
      <c r="P819" s="76"/>
      <c r="Q819" s="77"/>
      <c r="R819" s="76"/>
      <c r="S819" s="77"/>
      <c r="T819" s="64"/>
      <c r="U819" s="45">
        <f t="shared" si="250"/>
        <v>0</v>
      </c>
      <c r="V819" s="65"/>
    </row>
    <row r="820" spans="1:22" s="129" customFormat="1" ht="12.75" hidden="1">
      <c r="A820" s="52">
        <v>22</v>
      </c>
      <c r="B820" s="53">
        <v>17</v>
      </c>
      <c r="C820" s="54" t="s">
        <v>52</v>
      </c>
      <c r="D820" s="55" t="s">
        <v>1487</v>
      </c>
      <c r="E820" s="56" t="s">
        <v>1488</v>
      </c>
      <c r="F820" s="43">
        <v>2.659</v>
      </c>
      <c r="G820" s="57"/>
      <c r="H820" s="57"/>
      <c r="I820" s="58"/>
      <c r="J820" s="59">
        <f t="shared" si="247"/>
        <v>742.8502282779862</v>
      </c>
      <c r="K820" s="60">
        <v>0.9336178972540682</v>
      </c>
      <c r="L820" s="75">
        <v>1.0973025428086491</v>
      </c>
      <c r="M820" s="63">
        <f t="shared" si="248"/>
        <v>1933.8</v>
      </c>
      <c r="N820" s="63">
        <f t="shared" si="249"/>
        <v>1754</v>
      </c>
      <c r="O820" s="62"/>
      <c r="P820" s="76"/>
      <c r="Q820" s="77"/>
      <c r="R820" s="76"/>
      <c r="S820" s="77"/>
      <c r="T820" s="64"/>
      <c r="U820" s="45">
        <f t="shared" si="250"/>
        <v>1754</v>
      </c>
      <c r="V820" s="65"/>
    </row>
    <row r="821" spans="1:22" ht="12.75" hidden="1">
      <c r="A821" s="52">
        <v>22</v>
      </c>
      <c r="B821" s="53">
        <v>18</v>
      </c>
      <c r="C821" s="54" t="s">
        <v>52</v>
      </c>
      <c r="D821" s="55" t="s">
        <v>1489</v>
      </c>
      <c r="E821" s="56" t="s">
        <v>1490</v>
      </c>
      <c r="F821" s="43">
        <v>3.491</v>
      </c>
      <c r="G821" s="57"/>
      <c r="H821" s="57"/>
      <c r="I821" s="58"/>
      <c r="J821" s="59">
        <f t="shared" si="247"/>
        <v>742.8502282779862</v>
      </c>
      <c r="K821" s="60">
        <v>0.9336178972540682</v>
      </c>
      <c r="L821" s="75">
        <v>1.0247909279357357</v>
      </c>
      <c r="M821" s="63">
        <f t="shared" si="248"/>
        <v>2451.2</v>
      </c>
      <c r="N821" s="63">
        <f t="shared" si="249"/>
        <v>2223.2</v>
      </c>
      <c r="O821" s="62"/>
      <c r="P821" s="76"/>
      <c r="Q821" s="77"/>
      <c r="R821" s="76"/>
      <c r="S821" s="77"/>
      <c r="T821" s="64"/>
      <c r="U821" s="45">
        <f t="shared" si="250"/>
        <v>2223.2</v>
      </c>
      <c r="V821" s="65"/>
    </row>
    <row r="822" spans="1:22" ht="12.75" hidden="1">
      <c r="A822" s="52">
        <v>22</v>
      </c>
      <c r="B822" s="53">
        <v>19</v>
      </c>
      <c r="C822" s="54" t="s">
        <v>52</v>
      </c>
      <c r="D822" s="55" t="s">
        <v>1491</v>
      </c>
      <c r="E822" s="56" t="s">
        <v>1492</v>
      </c>
      <c r="F822" s="43">
        <v>14.213</v>
      </c>
      <c r="G822" s="57"/>
      <c r="H822" s="57"/>
      <c r="I822" s="58"/>
      <c r="J822" s="59">
        <f t="shared" si="247"/>
        <v>742.8502282779862</v>
      </c>
      <c r="K822" s="60">
        <v>0.9336178972540682</v>
      </c>
      <c r="L822" s="75">
        <v>1.074308009918262</v>
      </c>
      <c r="M822" s="63">
        <f t="shared" si="248"/>
        <v>10223.5</v>
      </c>
      <c r="N822" s="63">
        <f t="shared" si="249"/>
        <v>9272.7</v>
      </c>
      <c r="O822" s="62"/>
      <c r="P822" s="76"/>
      <c r="Q822" s="77"/>
      <c r="R822" s="76"/>
      <c r="S822" s="77"/>
      <c r="T822" s="64"/>
      <c r="U822" s="45">
        <f t="shared" si="250"/>
        <v>9272.7</v>
      </c>
      <c r="V822" s="65"/>
    </row>
    <row r="823" spans="1:22" ht="12.75" hidden="1">
      <c r="A823" s="52">
        <v>22</v>
      </c>
      <c r="B823" s="53">
        <v>20</v>
      </c>
      <c r="C823" s="54" t="s">
        <v>52</v>
      </c>
      <c r="D823" s="55" t="s">
        <v>1493</v>
      </c>
      <c r="E823" s="56" t="s">
        <v>1494</v>
      </c>
      <c r="F823" s="43">
        <v>29.03</v>
      </c>
      <c r="G823" s="57"/>
      <c r="H823" s="57"/>
      <c r="I823" s="58"/>
      <c r="J823" s="59">
        <f t="shared" si="247"/>
        <v>742.8502282779862</v>
      </c>
      <c r="K823" s="60">
        <v>0.9336178972540682</v>
      </c>
      <c r="L823" s="75">
        <v>1.082516775324112</v>
      </c>
      <c r="M823" s="63">
        <f t="shared" si="248"/>
        <v>20964.1</v>
      </c>
      <c r="N823" s="63">
        <f t="shared" si="249"/>
        <v>19014.4</v>
      </c>
      <c r="O823" s="62"/>
      <c r="P823" s="76"/>
      <c r="Q823" s="77"/>
      <c r="R823" s="76"/>
      <c r="S823" s="77"/>
      <c r="T823" s="64"/>
      <c r="U823" s="45">
        <f t="shared" si="250"/>
        <v>19014.4</v>
      </c>
      <c r="V823" s="65"/>
    </row>
    <row r="824" spans="1:22" ht="12.75" hidden="1">
      <c r="A824" s="52">
        <v>22</v>
      </c>
      <c r="B824" s="53">
        <v>21</v>
      </c>
      <c r="C824" s="54" t="s">
        <v>52</v>
      </c>
      <c r="D824" s="55" t="s">
        <v>1495</v>
      </c>
      <c r="E824" s="56" t="s">
        <v>1496</v>
      </c>
      <c r="F824" s="43">
        <v>0</v>
      </c>
      <c r="G824" s="57"/>
      <c r="H824" s="57"/>
      <c r="I824" s="58"/>
      <c r="J824" s="59">
        <f t="shared" si="247"/>
        <v>742.8502282779862</v>
      </c>
      <c r="K824" s="60">
        <v>0.9336178972540682</v>
      </c>
      <c r="L824" s="75">
        <v>1.0642685800869922</v>
      </c>
      <c r="M824" s="63">
        <f t="shared" si="248"/>
        <v>0</v>
      </c>
      <c r="N824" s="63">
        <f t="shared" si="249"/>
        <v>0</v>
      </c>
      <c r="O824" s="62"/>
      <c r="P824" s="76"/>
      <c r="Q824" s="77"/>
      <c r="R824" s="76"/>
      <c r="S824" s="77"/>
      <c r="T824" s="64"/>
      <c r="U824" s="45">
        <f t="shared" si="250"/>
        <v>0</v>
      </c>
      <c r="V824" s="65"/>
    </row>
    <row r="825" spans="1:22" ht="12.75" hidden="1">
      <c r="A825" s="52">
        <v>22</v>
      </c>
      <c r="B825" s="53">
        <v>22</v>
      </c>
      <c r="C825" s="54" t="s">
        <v>52</v>
      </c>
      <c r="D825" s="55" t="s">
        <v>1497</v>
      </c>
      <c r="E825" s="56" t="s">
        <v>1498</v>
      </c>
      <c r="F825" s="43">
        <v>27.012</v>
      </c>
      <c r="G825" s="57"/>
      <c r="H825" s="57"/>
      <c r="I825" s="58"/>
      <c r="J825" s="59">
        <f t="shared" si="247"/>
        <v>742.8502282779862</v>
      </c>
      <c r="K825" s="60">
        <v>0.9336178972540682</v>
      </c>
      <c r="L825" s="75">
        <v>1.0404821237318302</v>
      </c>
      <c r="M825" s="63">
        <f t="shared" si="248"/>
        <v>19113</v>
      </c>
      <c r="N825" s="63">
        <f t="shared" si="249"/>
        <v>17335.5</v>
      </c>
      <c r="O825" s="62"/>
      <c r="P825" s="76"/>
      <c r="Q825" s="77"/>
      <c r="R825" s="76"/>
      <c r="S825" s="77"/>
      <c r="T825" s="64"/>
      <c r="U825" s="45">
        <f t="shared" si="250"/>
        <v>17335.5</v>
      </c>
      <c r="V825" s="65"/>
    </row>
    <row r="826" spans="1:22" ht="12.75" hidden="1">
      <c r="A826" s="52">
        <v>22</v>
      </c>
      <c r="B826" s="53">
        <v>23</v>
      </c>
      <c r="C826" s="54" t="s">
        <v>52</v>
      </c>
      <c r="D826" s="55" t="s">
        <v>1499</v>
      </c>
      <c r="E826" s="56" t="s">
        <v>1500</v>
      </c>
      <c r="F826" s="43">
        <v>20.132</v>
      </c>
      <c r="G826" s="57"/>
      <c r="H826" s="57"/>
      <c r="I826" s="58"/>
      <c r="J826" s="59">
        <f t="shared" si="247"/>
        <v>742.8502282779862</v>
      </c>
      <c r="K826" s="60">
        <v>0.9336178972540682</v>
      </c>
      <c r="L826" s="75">
        <v>1.0595000088113486</v>
      </c>
      <c r="M826" s="63">
        <f t="shared" si="248"/>
        <v>14377.7</v>
      </c>
      <c r="N826" s="63">
        <f t="shared" si="249"/>
        <v>13040.6</v>
      </c>
      <c r="O826" s="62"/>
      <c r="P826" s="76"/>
      <c r="Q826" s="77"/>
      <c r="R826" s="76"/>
      <c r="S826" s="77"/>
      <c r="T826" s="64"/>
      <c r="U826" s="45">
        <f t="shared" si="250"/>
        <v>13040.6</v>
      </c>
      <c r="V826" s="65"/>
    </row>
    <row r="827" spans="1:22" ht="12.75" hidden="1">
      <c r="A827" s="52">
        <v>22</v>
      </c>
      <c r="B827" s="53">
        <v>24</v>
      </c>
      <c r="C827" s="54" t="s">
        <v>52</v>
      </c>
      <c r="D827" s="55" t="s">
        <v>1501</v>
      </c>
      <c r="E827" s="56" t="s">
        <v>1502</v>
      </c>
      <c r="F827" s="43">
        <v>40.723</v>
      </c>
      <c r="G827" s="57"/>
      <c r="H827" s="57"/>
      <c r="I827" s="58"/>
      <c r="J827" s="59">
        <f t="shared" si="247"/>
        <v>742.8502282779862</v>
      </c>
      <c r="K827" s="60">
        <v>0.9336178972540682</v>
      </c>
      <c r="L827" s="75">
        <v>1.0977456018075347</v>
      </c>
      <c r="M827" s="63">
        <f t="shared" si="248"/>
        <v>29623.3</v>
      </c>
      <c r="N827" s="63">
        <f t="shared" si="249"/>
        <v>26868.3</v>
      </c>
      <c r="O827" s="62"/>
      <c r="P827" s="76"/>
      <c r="Q827" s="77"/>
      <c r="R827" s="76"/>
      <c r="S827" s="77"/>
      <c r="T827" s="64"/>
      <c r="U827" s="45">
        <f t="shared" si="250"/>
        <v>26868.3</v>
      </c>
      <c r="V827" s="65"/>
    </row>
    <row r="828" spans="1:22" ht="12.75" hidden="1">
      <c r="A828" s="52">
        <v>22</v>
      </c>
      <c r="B828" s="53">
        <v>25</v>
      </c>
      <c r="C828" s="54" t="s">
        <v>52</v>
      </c>
      <c r="D828" s="55" t="s">
        <v>1503</v>
      </c>
      <c r="E828" s="56" t="s">
        <v>1504</v>
      </c>
      <c r="F828" s="43">
        <v>33.401</v>
      </c>
      <c r="G828" s="57"/>
      <c r="H828" s="57"/>
      <c r="I828" s="58"/>
      <c r="J828" s="59">
        <f t="shared" si="247"/>
        <v>742.8502282779862</v>
      </c>
      <c r="K828" s="60">
        <v>0.9336178972540682</v>
      </c>
      <c r="L828" s="75">
        <v>1.0179736759246265</v>
      </c>
      <c r="M828" s="63">
        <f t="shared" si="248"/>
        <v>23373.1</v>
      </c>
      <c r="N828" s="63">
        <f t="shared" si="249"/>
        <v>21199.4</v>
      </c>
      <c r="O828" s="62"/>
      <c r="P828" s="76"/>
      <c r="Q828" s="77"/>
      <c r="R828" s="76"/>
      <c r="S828" s="77"/>
      <c r="T828" s="64"/>
      <c r="U828" s="45">
        <f t="shared" si="250"/>
        <v>21199.4</v>
      </c>
      <c r="V828" s="65"/>
    </row>
    <row r="829" spans="1:22" ht="12.75" hidden="1">
      <c r="A829" s="52">
        <v>22</v>
      </c>
      <c r="B829" s="53">
        <v>26</v>
      </c>
      <c r="C829" s="54" t="s">
        <v>52</v>
      </c>
      <c r="D829" s="55" t="s">
        <v>1505</v>
      </c>
      <c r="E829" s="56" t="s">
        <v>1506</v>
      </c>
      <c r="F829" s="43">
        <v>29.875</v>
      </c>
      <c r="G829" s="57"/>
      <c r="H829" s="57"/>
      <c r="I829" s="58"/>
      <c r="J829" s="59">
        <f t="shared" si="247"/>
        <v>742.8502282779862</v>
      </c>
      <c r="K829" s="60">
        <v>0.9336178972540682</v>
      </c>
      <c r="L829" s="75">
        <v>1.106251885150974</v>
      </c>
      <c r="M829" s="63">
        <f t="shared" si="248"/>
        <v>21820.2</v>
      </c>
      <c r="N829" s="63">
        <f t="shared" si="249"/>
        <v>19790.9</v>
      </c>
      <c r="O829" s="62"/>
      <c r="P829" s="76"/>
      <c r="Q829" s="77"/>
      <c r="R829" s="76"/>
      <c r="S829" s="77"/>
      <c r="T829" s="64"/>
      <c r="U829" s="45">
        <f t="shared" si="250"/>
        <v>19790.9</v>
      </c>
      <c r="V829" s="65"/>
    </row>
    <row r="830" spans="1:22" ht="26.25" hidden="1">
      <c r="A830" s="38">
        <v>22</v>
      </c>
      <c r="B830" s="39" t="s">
        <v>26</v>
      </c>
      <c r="C830" s="40" t="s">
        <v>111</v>
      </c>
      <c r="D830" s="55"/>
      <c r="E830" s="79" t="s">
        <v>112</v>
      </c>
      <c r="F830" s="43">
        <f>SUM(F831:F852)</f>
        <v>296.43800000000005</v>
      </c>
      <c r="G830" s="83">
        <f>SUM(G831:G852)</f>
        <v>0</v>
      </c>
      <c r="H830" s="83">
        <f>SUM(H831:H852)</f>
        <v>0</v>
      </c>
      <c r="I830" s="122"/>
      <c r="J830" s="123"/>
      <c r="K830" s="122"/>
      <c r="L830" s="84">
        <v>0</v>
      </c>
      <c r="M830" s="85">
        <f aca="true" t="shared" si="251" ref="M830:U830">SUM(M831:M852)</f>
        <v>212014.69999999998</v>
      </c>
      <c r="N830" s="85">
        <f t="shared" si="251"/>
        <v>192297.3</v>
      </c>
      <c r="O830" s="85">
        <f t="shared" si="251"/>
        <v>0</v>
      </c>
      <c r="P830" s="85">
        <f t="shared" si="251"/>
        <v>0</v>
      </c>
      <c r="Q830" s="85">
        <f t="shared" si="251"/>
        <v>0</v>
      </c>
      <c r="R830" s="85">
        <f t="shared" si="251"/>
        <v>0</v>
      </c>
      <c r="S830" s="85">
        <f t="shared" si="251"/>
        <v>0</v>
      </c>
      <c r="T830" s="85">
        <f t="shared" si="251"/>
        <v>0</v>
      </c>
      <c r="U830" s="85">
        <f t="shared" si="251"/>
        <v>192297.3</v>
      </c>
      <c r="V830" s="135"/>
    </row>
    <row r="831" spans="1:22" ht="25.5" hidden="1">
      <c r="A831" s="52">
        <v>22</v>
      </c>
      <c r="B831" s="53">
        <v>27</v>
      </c>
      <c r="C831" s="54" t="s">
        <v>113</v>
      </c>
      <c r="D831" s="55" t="s">
        <v>1507</v>
      </c>
      <c r="E831" s="56" t="s">
        <v>1508</v>
      </c>
      <c r="F831" s="43">
        <v>8.889</v>
      </c>
      <c r="G831" s="57"/>
      <c r="H831" s="57"/>
      <c r="I831" s="58"/>
      <c r="J831" s="59">
        <f aca="true" t="shared" si="252" ref="J831:J852">+($F$7-$O$952-$Q$952-$P$952-$R$952-$S$952)/($F$952-$G$952*1-$H$952*0.5)*0.646*1.0268514</f>
        <v>742.8502282779862</v>
      </c>
      <c r="K831" s="60">
        <v>0.9336178972540682</v>
      </c>
      <c r="L831" s="75">
        <v>1.074308009918262</v>
      </c>
      <c r="M831" s="63">
        <f aca="true" t="shared" si="253" ref="M831:M852">ROUND(J831*(F831-G831-H831*I831)*K831*(0.5+0.5*L831),1)</f>
        <v>6393.9</v>
      </c>
      <c r="N831" s="63">
        <f aca="true" t="shared" si="254" ref="N831:N852">ROUND(M831*0.907,1)</f>
        <v>5799.3</v>
      </c>
      <c r="O831" s="62"/>
      <c r="P831" s="76"/>
      <c r="Q831" s="77"/>
      <c r="R831" s="76"/>
      <c r="S831" s="77"/>
      <c r="T831" s="64"/>
      <c r="U831" s="45">
        <f aca="true" t="shared" si="255" ref="U831:U852">+N831+O831+T831+R831+S831+Q831</f>
        <v>5799.3</v>
      </c>
      <c r="V831" s="65"/>
    </row>
    <row r="832" spans="1:22" ht="25.5" hidden="1">
      <c r="A832" s="52">
        <v>22</v>
      </c>
      <c r="B832" s="53">
        <v>28</v>
      </c>
      <c r="C832" s="54" t="s">
        <v>113</v>
      </c>
      <c r="D832" s="55" t="s">
        <v>1509</v>
      </c>
      <c r="E832" s="56" t="s">
        <v>1510</v>
      </c>
      <c r="F832" s="43">
        <v>7.749</v>
      </c>
      <c r="G832" s="57"/>
      <c r="H832" s="57"/>
      <c r="I832" s="58"/>
      <c r="J832" s="59">
        <f t="shared" si="252"/>
        <v>742.8502282779862</v>
      </c>
      <c r="K832" s="60">
        <v>0.9336178972540682</v>
      </c>
      <c r="L832" s="75">
        <v>1.0603648809042967</v>
      </c>
      <c r="M832" s="63">
        <f t="shared" si="253"/>
        <v>5536.4</v>
      </c>
      <c r="N832" s="63">
        <f t="shared" si="254"/>
        <v>5021.5</v>
      </c>
      <c r="O832" s="62"/>
      <c r="P832" s="76"/>
      <c r="Q832" s="77"/>
      <c r="R832" s="76"/>
      <c r="S832" s="77"/>
      <c r="T832" s="64"/>
      <c r="U832" s="45">
        <f t="shared" si="255"/>
        <v>5021.5</v>
      </c>
      <c r="V832" s="65"/>
    </row>
    <row r="833" spans="1:22" ht="25.5" hidden="1">
      <c r="A833" s="52">
        <v>22</v>
      </c>
      <c r="B833" s="53">
        <v>29</v>
      </c>
      <c r="C833" s="54" t="s">
        <v>113</v>
      </c>
      <c r="D833" s="55" t="s">
        <v>1511</v>
      </c>
      <c r="E833" s="56" t="s">
        <v>1512</v>
      </c>
      <c r="F833" s="43">
        <v>32.806</v>
      </c>
      <c r="G833" s="57"/>
      <c r="H833" s="57"/>
      <c r="I833" s="58"/>
      <c r="J833" s="59">
        <f t="shared" si="252"/>
        <v>742.8502282779862</v>
      </c>
      <c r="K833" s="60">
        <v>0.9336178972540682</v>
      </c>
      <c r="L833" s="75">
        <v>1.0603648809042967</v>
      </c>
      <c r="M833" s="63">
        <f t="shared" si="253"/>
        <v>23438.9</v>
      </c>
      <c r="N833" s="63">
        <f t="shared" si="254"/>
        <v>21259.1</v>
      </c>
      <c r="O833" s="62"/>
      <c r="P833" s="76"/>
      <c r="Q833" s="77"/>
      <c r="R833" s="76"/>
      <c r="S833" s="77"/>
      <c r="T833" s="64"/>
      <c r="U833" s="45">
        <f t="shared" si="255"/>
        <v>21259.1</v>
      </c>
      <c r="V833" s="65"/>
    </row>
    <row r="834" spans="1:22" ht="25.5" hidden="1">
      <c r="A834" s="52">
        <v>22</v>
      </c>
      <c r="B834" s="53">
        <v>30</v>
      </c>
      <c r="C834" s="54" t="s">
        <v>113</v>
      </c>
      <c r="D834" s="55" t="s">
        <v>1513</v>
      </c>
      <c r="E834" s="90" t="s">
        <v>1514</v>
      </c>
      <c r="F834" s="43">
        <v>6.481</v>
      </c>
      <c r="G834" s="57"/>
      <c r="H834" s="57"/>
      <c r="I834" s="58"/>
      <c r="J834" s="59">
        <f t="shared" si="252"/>
        <v>742.8502282779862</v>
      </c>
      <c r="K834" s="60">
        <v>0.9336178972540682</v>
      </c>
      <c r="L834" s="75">
        <v>1.074308009918262</v>
      </c>
      <c r="M834" s="63">
        <f t="shared" si="253"/>
        <v>4661.8</v>
      </c>
      <c r="N834" s="63">
        <f t="shared" si="254"/>
        <v>4228.3</v>
      </c>
      <c r="O834" s="62"/>
      <c r="P834" s="76"/>
      <c r="Q834" s="77"/>
      <c r="R834" s="76"/>
      <c r="S834" s="77"/>
      <c r="T834" s="64"/>
      <c r="U834" s="45">
        <f t="shared" si="255"/>
        <v>4228.3</v>
      </c>
      <c r="V834" s="65"/>
    </row>
    <row r="835" spans="1:22" ht="25.5" hidden="1">
      <c r="A835" s="52">
        <v>22</v>
      </c>
      <c r="B835" s="53">
        <v>31</v>
      </c>
      <c r="C835" s="54" t="s">
        <v>113</v>
      </c>
      <c r="D835" s="55" t="s">
        <v>1515</v>
      </c>
      <c r="E835" s="90" t="s">
        <v>1516</v>
      </c>
      <c r="F835" s="43">
        <v>7.555</v>
      </c>
      <c r="G835" s="57"/>
      <c r="H835" s="57"/>
      <c r="I835" s="58"/>
      <c r="J835" s="59">
        <f t="shared" si="252"/>
        <v>742.8502282779862</v>
      </c>
      <c r="K835" s="60">
        <v>0.9336178972540682</v>
      </c>
      <c r="L835" s="75">
        <v>1.0595000088113486</v>
      </c>
      <c r="M835" s="63">
        <f t="shared" si="253"/>
        <v>5395.6</v>
      </c>
      <c r="N835" s="63">
        <f t="shared" si="254"/>
        <v>4893.8</v>
      </c>
      <c r="O835" s="62"/>
      <c r="P835" s="76"/>
      <c r="Q835" s="77"/>
      <c r="R835" s="76"/>
      <c r="S835" s="77"/>
      <c r="T835" s="64"/>
      <c r="U835" s="45">
        <f t="shared" si="255"/>
        <v>4893.8</v>
      </c>
      <c r="V835" s="65"/>
    </row>
    <row r="836" spans="1:22" ht="25.5" hidden="1">
      <c r="A836" s="52">
        <v>22</v>
      </c>
      <c r="B836" s="53">
        <v>32</v>
      </c>
      <c r="C836" s="54" t="s">
        <v>113</v>
      </c>
      <c r="D836" s="55" t="s">
        <v>1517</v>
      </c>
      <c r="E836" s="56" t="s">
        <v>1518</v>
      </c>
      <c r="F836" s="43">
        <v>12.473</v>
      </c>
      <c r="G836" s="57"/>
      <c r="H836" s="57"/>
      <c r="I836" s="58"/>
      <c r="J836" s="59">
        <f t="shared" si="252"/>
        <v>742.8502282779862</v>
      </c>
      <c r="K836" s="60">
        <v>0.9336178972540682</v>
      </c>
      <c r="L836" s="75">
        <v>1.0734998532108826</v>
      </c>
      <c r="M836" s="63">
        <f t="shared" si="253"/>
        <v>8968.4</v>
      </c>
      <c r="N836" s="63">
        <f t="shared" si="254"/>
        <v>8134.3</v>
      </c>
      <c r="O836" s="62"/>
      <c r="P836" s="76"/>
      <c r="Q836" s="77"/>
      <c r="R836" s="76"/>
      <c r="S836" s="77"/>
      <c r="T836" s="64"/>
      <c r="U836" s="45">
        <f t="shared" si="255"/>
        <v>8134.3</v>
      </c>
      <c r="V836" s="65"/>
    </row>
    <row r="837" spans="1:22" ht="25.5" hidden="1">
      <c r="A837" s="52">
        <v>22</v>
      </c>
      <c r="B837" s="53">
        <v>33</v>
      </c>
      <c r="C837" s="54" t="s">
        <v>113</v>
      </c>
      <c r="D837" s="55" t="s">
        <v>1519</v>
      </c>
      <c r="E837" s="90" t="s">
        <v>1520</v>
      </c>
      <c r="F837" s="43">
        <v>37.99</v>
      </c>
      <c r="G837" s="57"/>
      <c r="H837" s="57"/>
      <c r="I837" s="58"/>
      <c r="J837" s="59">
        <f t="shared" si="252"/>
        <v>742.8502282779862</v>
      </c>
      <c r="K837" s="60">
        <v>0.9336178972540682</v>
      </c>
      <c r="L837" s="75">
        <v>1.0618206361467033</v>
      </c>
      <c r="M837" s="63">
        <f t="shared" si="253"/>
        <v>27161.9</v>
      </c>
      <c r="N837" s="63">
        <f t="shared" si="254"/>
        <v>24635.8</v>
      </c>
      <c r="O837" s="62"/>
      <c r="P837" s="76"/>
      <c r="Q837" s="77"/>
      <c r="R837" s="76"/>
      <c r="S837" s="77"/>
      <c r="T837" s="64"/>
      <c r="U837" s="45">
        <f t="shared" si="255"/>
        <v>24635.8</v>
      </c>
      <c r="V837" s="65"/>
    </row>
    <row r="838" spans="1:22" ht="25.5" hidden="1">
      <c r="A838" s="52">
        <v>22</v>
      </c>
      <c r="B838" s="53">
        <v>34</v>
      </c>
      <c r="C838" s="54" t="s">
        <v>113</v>
      </c>
      <c r="D838" s="55" t="s">
        <v>1521</v>
      </c>
      <c r="E838" s="90" t="s">
        <v>1520</v>
      </c>
      <c r="F838" s="43">
        <v>10.74</v>
      </c>
      <c r="G838" s="57"/>
      <c r="H838" s="57"/>
      <c r="I838" s="58"/>
      <c r="J838" s="59">
        <f t="shared" si="252"/>
        <v>742.8502282779862</v>
      </c>
      <c r="K838" s="60">
        <v>0.9336178972540682</v>
      </c>
      <c r="L838" s="75">
        <v>1.0618206361467033</v>
      </c>
      <c r="M838" s="63">
        <f t="shared" si="253"/>
        <v>7678.8</v>
      </c>
      <c r="N838" s="63">
        <f t="shared" si="254"/>
        <v>6964.7</v>
      </c>
      <c r="O838" s="62"/>
      <c r="P838" s="76"/>
      <c r="Q838" s="77"/>
      <c r="R838" s="76"/>
      <c r="S838" s="77"/>
      <c r="T838" s="64"/>
      <c r="U838" s="45">
        <f t="shared" si="255"/>
        <v>6964.7</v>
      </c>
      <c r="V838" s="65"/>
    </row>
    <row r="839" spans="1:22" ht="39" hidden="1">
      <c r="A839" s="145">
        <v>22</v>
      </c>
      <c r="B839" s="87">
        <v>35</v>
      </c>
      <c r="C839" s="88" t="s">
        <v>113</v>
      </c>
      <c r="D839" s="169" t="s">
        <v>1522</v>
      </c>
      <c r="E839" s="56" t="s">
        <v>1523</v>
      </c>
      <c r="F839" s="43">
        <v>4.457</v>
      </c>
      <c r="G839" s="57"/>
      <c r="H839" s="57"/>
      <c r="I839" s="58"/>
      <c r="J839" s="59">
        <f t="shared" si="252"/>
        <v>742.8502282779862</v>
      </c>
      <c r="K839" s="60">
        <v>0.9336178972540682</v>
      </c>
      <c r="L839" s="75">
        <v>1.0734998532108826</v>
      </c>
      <c r="M839" s="63">
        <f t="shared" si="253"/>
        <v>3204.7</v>
      </c>
      <c r="N839" s="63">
        <f t="shared" si="254"/>
        <v>2906.7</v>
      </c>
      <c r="O839" s="62"/>
      <c r="P839" s="76"/>
      <c r="Q839" s="77"/>
      <c r="R839" s="76"/>
      <c r="S839" s="77"/>
      <c r="T839" s="64"/>
      <c r="U839" s="45">
        <f t="shared" si="255"/>
        <v>2906.7</v>
      </c>
      <c r="V839" s="65"/>
    </row>
    <row r="840" spans="1:22" ht="26.25" hidden="1">
      <c r="A840" s="145">
        <v>22</v>
      </c>
      <c r="B840" s="87">
        <v>36</v>
      </c>
      <c r="C840" s="88" t="s">
        <v>113</v>
      </c>
      <c r="D840" s="169" t="s">
        <v>1524</v>
      </c>
      <c r="E840" s="56" t="s">
        <v>1525</v>
      </c>
      <c r="F840" s="43">
        <v>4.8</v>
      </c>
      <c r="G840" s="57"/>
      <c r="H840" s="57"/>
      <c r="I840" s="58"/>
      <c r="J840" s="59">
        <f t="shared" si="252"/>
        <v>742.8502282779862</v>
      </c>
      <c r="K840" s="60">
        <v>0.9336178972540682</v>
      </c>
      <c r="L840" s="75">
        <v>1.0734998532108826</v>
      </c>
      <c r="M840" s="63">
        <f t="shared" si="253"/>
        <v>3451.3</v>
      </c>
      <c r="N840" s="63">
        <f t="shared" si="254"/>
        <v>3130.3</v>
      </c>
      <c r="O840" s="62"/>
      <c r="P840" s="76"/>
      <c r="Q840" s="77"/>
      <c r="R840" s="76"/>
      <c r="S840" s="77"/>
      <c r="T840" s="64"/>
      <c r="U840" s="45">
        <f t="shared" si="255"/>
        <v>3130.3</v>
      </c>
      <c r="V840" s="65"/>
    </row>
    <row r="841" spans="1:22" ht="25.5" hidden="1">
      <c r="A841" s="52">
        <v>22</v>
      </c>
      <c r="B841" s="53">
        <v>37</v>
      </c>
      <c r="C841" s="54" t="s">
        <v>113</v>
      </c>
      <c r="D841" s="55" t="s">
        <v>1526</v>
      </c>
      <c r="E841" s="56" t="s">
        <v>1527</v>
      </c>
      <c r="F841" s="43">
        <v>19.926</v>
      </c>
      <c r="G841" s="57"/>
      <c r="H841" s="57"/>
      <c r="I841" s="58"/>
      <c r="J841" s="59">
        <f t="shared" si="252"/>
        <v>742.8502282779862</v>
      </c>
      <c r="K841" s="60">
        <v>0.9336178972540682</v>
      </c>
      <c r="L841" s="75">
        <v>1.0744498751766696</v>
      </c>
      <c r="M841" s="63">
        <f t="shared" si="253"/>
        <v>14333.9</v>
      </c>
      <c r="N841" s="63">
        <f t="shared" si="254"/>
        <v>13000.8</v>
      </c>
      <c r="O841" s="62"/>
      <c r="P841" s="76"/>
      <c r="Q841" s="77"/>
      <c r="R841" s="76"/>
      <c r="S841" s="77"/>
      <c r="T841" s="64"/>
      <c r="U841" s="45">
        <f t="shared" si="255"/>
        <v>13000.8</v>
      </c>
      <c r="V841" s="65"/>
    </row>
    <row r="842" spans="1:22" ht="25.5" hidden="1">
      <c r="A842" s="52">
        <v>22</v>
      </c>
      <c r="B842" s="53">
        <v>38</v>
      </c>
      <c r="C842" s="54" t="s">
        <v>113</v>
      </c>
      <c r="D842" s="55" t="s">
        <v>1528</v>
      </c>
      <c r="E842" s="56" t="s">
        <v>1529</v>
      </c>
      <c r="F842" s="43">
        <v>7.637</v>
      </c>
      <c r="G842" s="57"/>
      <c r="H842" s="57"/>
      <c r="I842" s="58"/>
      <c r="J842" s="59">
        <f t="shared" si="252"/>
        <v>742.8502282779862</v>
      </c>
      <c r="K842" s="60">
        <v>0.9336178972540682</v>
      </c>
      <c r="L842" s="75">
        <v>1.0595000088113486</v>
      </c>
      <c r="M842" s="63">
        <f t="shared" si="253"/>
        <v>5454.1</v>
      </c>
      <c r="N842" s="63">
        <f t="shared" si="254"/>
        <v>4946.9</v>
      </c>
      <c r="O842" s="62"/>
      <c r="P842" s="76"/>
      <c r="Q842" s="77"/>
      <c r="R842" s="76"/>
      <c r="S842" s="77"/>
      <c r="T842" s="64"/>
      <c r="U842" s="45">
        <f t="shared" si="255"/>
        <v>4946.9</v>
      </c>
      <c r="V842" s="65"/>
    </row>
    <row r="843" spans="1:22" ht="25.5" hidden="1">
      <c r="A843" s="52">
        <v>22</v>
      </c>
      <c r="B843" s="53">
        <v>39</v>
      </c>
      <c r="C843" s="54" t="s">
        <v>113</v>
      </c>
      <c r="D843" s="55" t="s">
        <v>1530</v>
      </c>
      <c r="E843" s="56" t="s">
        <v>1531</v>
      </c>
      <c r="F843" s="43">
        <v>7.185</v>
      </c>
      <c r="G843" s="57"/>
      <c r="H843" s="57"/>
      <c r="I843" s="58"/>
      <c r="J843" s="59">
        <f t="shared" si="252"/>
        <v>742.8502282779862</v>
      </c>
      <c r="K843" s="60">
        <v>0.9336178972540682</v>
      </c>
      <c r="L843" s="75">
        <v>1.0618206361467033</v>
      </c>
      <c r="M843" s="63">
        <f t="shared" si="253"/>
        <v>5137.1</v>
      </c>
      <c r="N843" s="63">
        <f t="shared" si="254"/>
        <v>4659.3</v>
      </c>
      <c r="O843" s="62"/>
      <c r="P843" s="76"/>
      <c r="Q843" s="77"/>
      <c r="R843" s="76"/>
      <c r="S843" s="77"/>
      <c r="T843" s="64"/>
      <c r="U843" s="45">
        <f t="shared" si="255"/>
        <v>4659.3</v>
      </c>
      <c r="V843" s="65"/>
    </row>
    <row r="844" spans="1:22" ht="25.5" hidden="1">
      <c r="A844" s="52">
        <v>22</v>
      </c>
      <c r="B844" s="53">
        <v>40</v>
      </c>
      <c r="C844" s="54" t="s">
        <v>113</v>
      </c>
      <c r="D844" s="55" t="s">
        <v>1532</v>
      </c>
      <c r="E844" s="90" t="s">
        <v>1533</v>
      </c>
      <c r="F844" s="43">
        <v>8.232</v>
      </c>
      <c r="G844" s="57"/>
      <c r="H844" s="57"/>
      <c r="I844" s="58"/>
      <c r="J844" s="59">
        <f t="shared" si="252"/>
        <v>742.8502282779862</v>
      </c>
      <c r="K844" s="60">
        <v>0.9336178972540682</v>
      </c>
      <c r="L844" s="75">
        <v>1.0744498751766696</v>
      </c>
      <c r="M844" s="63">
        <f t="shared" si="253"/>
        <v>5921.7</v>
      </c>
      <c r="N844" s="63">
        <f t="shared" si="254"/>
        <v>5371</v>
      </c>
      <c r="O844" s="62"/>
      <c r="P844" s="76"/>
      <c r="Q844" s="77"/>
      <c r="R844" s="76"/>
      <c r="S844" s="77"/>
      <c r="T844" s="64"/>
      <c r="U844" s="45">
        <f t="shared" si="255"/>
        <v>5371</v>
      </c>
      <c r="V844" s="65"/>
    </row>
    <row r="845" spans="1:22" ht="25.5" hidden="1">
      <c r="A845" s="52">
        <v>22</v>
      </c>
      <c r="B845" s="53">
        <v>41</v>
      </c>
      <c r="C845" s="54" t="s">
        <v>113</v>
      </c>
      <c r="D845" s="55" t="s">
        <v>1534</v>
      </c>
      <c r="E845" s="56" t="s">
        <v>1535</v>
      </c>
      <c r="F845" s="43">
        <v>6.409</v>
      </c>
      <c r="G845" s="57"/>
      <c r="H845" s="57"/>
      <c r="I845" s="58"/>
      <c r="J845" s="59">
        <f t="shared" si="252"/>
        <v>742.8502282779862</v>
      </c>
      <c r="K845" s="60">
        <v>0.9336178972540682</v>
      </c>
      <c r="L845" s="75">
        <v>1.0603648809042967</v>
      </c>
      <c r="M845" s="63">
        <f t="shared" si="253"/>
        <v>4579</v>
      </c>
      <c r="N845" s="63">
        <f t="shared" si="254"/>
        <v>4153.2</v>
      </c>
      <c r="O845" s="62"/>
      <c r="P845" s="76"/>
      <c r="Q845" s="77"/>
      <c r="R845" s="76"/>
      <c r="S845" s="77"/>
      <c r="T845" s="64"/>
      <c r="U845" s="45">
        <f t="shared" si="255"/>
        <v>4153.2</v>
      </c>
      <c r="V845" s="65"/>
    </row>
    <row r="846" spans="1:22" ht="26.25" hidden="1">
      <c r="A846" s="145">
        <v>22</v>
      </c>
      <c r="B846" s="87">
        <v>43</v>
      </c>
      <c r="C846" s="88" t="s">
        <v>113</v>
      </c>
      <c r="D846" s="169" t="s">
        <v>1536</v>
      </c>
      <c r="E846" s="56" t="s">
        <v>1537</v>
      </c>
      <c r="F846" s="43">
        <v>26.185</v>
      </c>
      <c r="G846" s="57"/>
      <c r="H846" s="57"/>
      <c r="I846" s="58"/>
      <c r="J846" s="59">
        <f t="shared" si="252"/>
        <v>742.8502282779862</v>
      </c>
      <c r="K846" s="60">
        <v>0.9336178972540682</v>
      </c>
      <c r="L846" s="75">
        <v>1.0973025428086491</v>
      </c>
      <c r="M846" s="63">
        <f t="shared" si="253"/>
        <v>19043.8</v>
      </c>
      <c r="N846" s="63">
        <f t="shared" si="254"/>
        <v>17272.7</v>
      </c>
      <c r="O846" s="62"/>
      <c r="P846" s="76"/>
      <c r="Q846" s="77"/>
      <c r="R846" s="76"/>
      <c r="S846" s="77"/>
      <c r="T846" s="64"/>
      <c r="U846" s="45">
        <f t="shared" si="255"/>
        <v>17272.7</v>
      </c>
      <c r="V846" s="65"/>
    </row>
    <row r="847" spans="1:22" s="82" customFormat="1" ht="26.25" hidden="1">
      <c r="A847" s="52">
        <v>22</v>
      </c>
      <c r="B847" s="53">
        <v>44</v>
      </c>
      <c r="C847" s="54" t="s">
        <v>113</v>
      </c>
      <c r="D847" s="55" t="s">
        <v>1538</v>
      </c>
      <c r="E847" s="56" t="s">
        <v>1539</v>
      </c>
      <c r="F847" s="43">
        <v>32.793</v>
      </c>
      <c r="G847" s="57"/>
      <c r="H847" s="57"/>
      <c r="I847" s="58"/>
      <c r="J847" s="59">
        <f t="shared" si="252"/>
        <v>742.8502282779862</v>
      </c>
      <c r="K847" s="60">
        <v>0.9336178972540682</v>
      </c>
      <c r="L847" s="75">
        <v>1.0247909279357357</v>
      </c>
      <c r="M847" s="63">
        <f t="shared" si="253"/>
        <v>23025.1</v>
      </c>
      <c r="N847" s="63">
        <f t="shared" si="254"/>
        <v>20883.8</v>
      </c>
      <c r="O847" s="62"/>
      <c r="P847" s="76"/>
      <c r="Q847" s="77"/>
      <c r="R847" s="76"/>
      <c r="S847" s="77"/>
      <c r="T847" s="64"/>
      <c r="U847" s="45">
        <f t="shared" si="255"/>
        <v>20883.8</v>
      </c>
      <c r="V847" s="65"/>
    </row>
    <row r="848" spans="1:22" s="82" customFormat="1" ht="26.25" hidden="1">
      <c r="A848" s="52">
        <v>22</v>
      </c>
      <c r="B848" s="53">
        <v>45</v>
      </c>
      <c r="C848" s="54" t="s">
        <v>113</v>
      </c>
      <c r="D848" s="55" t="s">
        <v>1540</v>
      </c>
      <c r="E848" s="56" t="s">
        <v>1541</v>
      </c>
      <c r="F848" s="43">
        <v>8.39</v>
      </c>
      <c r="G848" s="57"/>
      <c r="H848" s="57"/>
      <c r="I848" s="58"/>
      <c r="J848" s="59">
        <f t="shared" si="252"/>
        <v>742.8502282779862</v>
      </c>
      <c r="K848" s="60">
        <v>0.9336178972540682</v>
      </c>
      <c r="L848" s="75">
        <v>1.0247909279357357</v>
      </c>
      <c r="M848" s="63">
        <f t="shared" si="253"/>
        <v>5890.9</v>
      </c>
      <c r="N848" s="63">
        <f t="shared" si="254"/>
        <v>5343</v>
      </c>
      <c r="O848" s="62"/>
      <c r="P848" s="76"/>
      <c r="Q848" s="77"/>
      <c r="R848" s="76"/>
      <c r="S848" s="77"/>
      <c r="T848" s="64"/>
      <c r="U848" s="45">
        <f t="shared" si="255"/>
        <v>5343</v>
      </c>
      <c r="V848" s="65"/>
    </row>
    <row r="849" spans="1:22" s="82" customFormat="1" ht="26.25" hidden="1">
      <c r="A849" s="52">
        <v>22</v>
      </c>
      <c r="B849" s="53">
        <v>46</v>
      </c>
      <c r="C849" s="54" t="s">
        <v>113</v>
      </c>
      <c r="D849" s="55" t="s">
        <v>1542</v>
      </c>
      <c r="E849" s="56" t="s">
        <v>1543</v>
      </c>
      <c r="F849" s="43">
        <v>4.943</v>
      </c>
      <c r="G849" s="57"/>
      <c r="H849" s="57"/>
      <c r="I849" s="58"/>
      <c r="J849" s="59">
        <f t="shared" si="252"/>
        <v>742.8502282779862</v>
      </c>
      <c r="K849" s="60">
        <v>0.9336178972540682</v>
      </c>
      <c r="L849" s="75">
        <v>1.0595000088113486</v>
      </c>
      <c r="M849" s="63">
        <f t="shared" si="253"/>
        <v>3530.1</v>
      </c>
      <c r="N849" s="63">
        <f t="shared" si="254"/>
        <v>3201.8</v>
      </c>
      <c r="O849" s="62"/>
      <c r="P849" s="76"/>
      <c r="Q849" s="77"/>
      <c r="R849" s="76"/>
      <c r="S849" s="77"/>
      <c r="T849" s="64"/>
      <c r="U849" s="45">
        <f t="shared" si="255"/>
        <v>3201.8</v>
      </c>
      <c r="V849" s="65"/>
    </row>
    <row r="850" spans="1:22" s="82" customFormat="1" ht="26.25" hidden="1">
      <c r="A850" s="52">
        <v>22</v>
      </c>
      <c r="B850" s="53">
        <v>47</v>
      </c>
      <c r="C850" s="54" t="s">
        <v>113</v>
      </c>
      <c r="D850" s="55" t="s">
        <v>1544</v>
      </c>
      <c r="E850" s="56" t="s">
        <v>1545</v>
      </c>
      <c r="F850" s="43">
        <v>7.938</v>
      </c>
      <c r="G850" s="57"/>
      <c r="H850" s="57"/>
      <c r="I850" s="58"/>
      <c r="J850" s="59">
        <f t="shared" si="252"/>
        <v>742.8502282779862</v>
      </c>
      <c r="K850" s="60">
        <v>0.9336178972540682</v>
      </c>
      <c r="L850" s="75">
        <v>1.0728896132151078</v>
      </c>
      <c r="M850" s="63">
        <f t="shared" si="253"/>
        <v>5705.9</v>
      </c>
      <c r="N850" s="63">
        <f t="shared" si="254"/>
        <v>5175.3</v>
      </c>
      <c r="O850" s="62"/>
      <c r="P850" s="76"/>
      <c r="Q850" s="77"/>
      <c r="R850" s="76"/>
      <c r="S850" s="77"/>
      <c r="T850" s="64"/>
      <c r="U850" s="45">
        <f t="shared" si="255"/>
        <v>5175.3</v>
      </c>
      <c r="V850" s="65"/>
    </row>
    <row r="851" spans="1:22" s="129" customFormat="1" ht="25.5" hidden="1">
      <c r="A851" s="52">
        <v>22</v>
      </c>
      <c r="B851" s="53">
        <v>49</v>
      </c>
      <c r="C851" s="54" t="s">
        <v>113</v>
      </c>
      <c r="D851" s="55" t="s">
        <v>1546</v>
      </c>
      <c r="E851" s="56" t="s">
        <v>1547</v>
      </c>
      <c r="F851" s="43">
        <v>20.433</v>
      </c>
      <c r="G851" s="57"/>
      <c r="H851" s="57"/>
      <c r="I851" s="58"/>
      <c r="J851" s="59">
        <f t="shared" si="252"/>
        <v>742.8502282779862</v>
      </c>
      <c r="K851" s="60">
        <v>0.9336178972540682</v>
      </c>
      <c r="L851" s="75">
        <v>1.0642685800869922</v>
      </c>
      <c r="M851" s="63">
        <f t="shared" si="253"/>
        <v>14626.4</v>
      </c>
      <c r="N851" s="63">
        <f t="shared" si="254"/>
        <v>13266.1</v>
      </c>
      <c r="O851" s="62"/>
      <c r="P851" s="76"/>
      <c r="Q851" s="77"/>
      <c r="R851" s="76"/>
      <c r="S851" s="77"/>
      <c r="T851" s="64"/>
      <c r="U851" s="45">
        <f t="shared" si="255"/>
        <v>13266.1</v>
      </c>
      <c r="V851" s="65"/>
    </row>
    <row r="852" spans="1:22" s="91" customFormat="1" ht="25.5" hidden="1">
      <c r="A852" s="52">
        <v>22</v>
      </c>
      <c r="B852" s="53">
        <v>50</v>
      </c>
      <c r="C852" s="54" t="s">
        <v>113</v>
      </c>
      <c r="D852" s="55" t="s">
        <v>1548</v>
      </c>
      <c r="E852" s="56" t="s">
        <v>1549</v>
      </c>
      <c r="F852" s="43">
        <v>12.427</v>
      </c>
      <c r="G852" s="57"/>
      <c r="H852" s="57"/>
      <c r="I852" s="58"/>
      <c r="J852" s="59">
        <f t="shared" si="252"/>
        <v>742.8502282779862</v>
      </c>
      <c r="K852" s="60">
        <v>0.9336178972540682</v>
      </c>
      <c r="L852" s="75">
        <v>1.0595000088113486</v>
      </c>
      <c r="M852" s="63">
        <f t="shared" si="253"/>
        <v>8875</v>
      </c>
      <c r="N852" s="63">
        <f t="shared" si="254"/>
        <v>8049.6</v>
      </c>
      <c r="O852" s="62"/>
      <c r="P852" s="76"/>
      <c r="Q852" s="77"/>
      <c r="R852" s="76"/>
      <c r="S852" s="77"/>
      <c r="T852" s="64"/>
      <c r="U852" s="45">
        <f t="shared" si="255"/>
        <v>8049.6</v>
      </c>
      <c r="V852" s="65"/>
    </row>
    <row r="853" spans="1:22" s="199" customFormat="1" ht="25.5" hidden="1">
      <c r="A853" s="170">
        <v>23</v>
      </c>
      <c r="B853" s="167" t="s">
        <v>26</v>
      </c>
      <c r="C853" s="40" t="s">
        <v>27</v>
      </c>
      <c r="D853" s="55"/>
      <c r="E853" s="168" t="s">
        <v>1550</v>
      </c>
      <c r="F853" s="43">
        <f>F854+F855+F862+F883</f>
        <v>1242.965</v>
      </c>
      <c r="G853" s="44">
        <f>+G854+G855+G862+G883</f>
        <v>0</v>
      </c>
      <c r="H853" s="44">
        <f>+H854+H855+H862+H883</f>
        <v>0</v>
      </c>
      <c r="I853" s="45"/>
      <c r="J853" s="46"/>
      <c r="K853" s="47"/>
      <c r="L853" s="48">
        <v>1.0372995078103433</v>
      </c>
      <c r="M853" s="49">
        <f aca="true" t="shared" si="256" ref="M853:U853">+M854+M855+M862+M883</f>
        <v>1404901.7999999998</v>
      </c>
      <c r="N853" s="49">
        <f t="shared" si="256"/>
        <v>1404901.8</v>
      </c>
      <c r="O853" s="49">
        <f t="shared" si="256"/>
        <v>0</v>
      </c>
      <c r="P853" s="49">
        <f t="shared" si="256"/>
        <v>2386</v>
      </c>
      <c r="Q853" s="49">
        <f t="shared" si="256"/>
        <v>24765.9</v>
      </c>
      <c r="R853" s="49">
        <f t="shared" si="256"/>
        <v>54425.7</v>
      </c>
      <c r="S853" s="49">
        <f t="shared" si="256"/>
        <v>465.1</v>
      </c>
      <c r="T853" s="49">
        <f t="shared" si="256"/>
        <v>0</v>
      </c>
      <c r="U853" s="49">
        <f t="shared" si="256"/>
        <v>1486944.5</v>
      </c>
      <c r="V853" s="65"/>
    </row>
    <row r="854" spans="1:22" s="200" customFormat="1" ht="12.75" hidden="1">
      <c r="A854" s="52">
        <v>23</v>
      </c>
      <c r="B854" s="53" t="s">
        <v>26</v>
      </c>
      <c r="C854" s="54" t="s">
        <v>29</v>
      </c>
      <c r="D854" s="55" t="s">
        <v>1551</v>
      </c>
      <c r="E854" s="56" t="s">
        <v>31</v>
      </c>
      <c r="F854" s="43">
        <v>0</v>
      </c>
      <c r="G854" s="128"/>
      <c r="H854" s="128"/>
      <c r="I854" s="58"/>
      <c r="J854" s="59">
        <f>+($F$7-$O$952-$Q$952-$P$952-R$952-$S$952)/$F$952*0.354*0.951</f>
        <v>376.76602120660414</v>
      </c>
      <c r="K854" s="60">
        <v>0</v>
      </c>
      <c r="L854" s="48">
        <v>1.0372995078103433</v>
      </c>
      <c r="M854" s="49">
        <f>ROUND(J854*(F855+F862+F883)*(0.5+0.5*L854),1)</f>
        <v>477040.8</v>
      </c>
      <c r="N854" s="49">
        <f>M854+ROUND(SUM(M856:M861)*0.117+SUM(M863:M882)*0.093+SUM(M884:M886)*0.093,1)-0.2</f>
        <v>573011.4</v>
      </c>
      <c r="O854" s="61"/>
      <c r="P854" s="62">
        <v>2386</v>
      </c>
      <c r="Q854" s="63">
        <v>24765.9</v>
      </c>
      <c r="R854" s="62">
        <v>54425.7</v>
      </c>
      <c r="S854" s="63">
        <v>465.1</v>
      </c>
      <c r="T854" s="64"/>
      <c r="U854" s="45">
        <f>N854+O854+P854+Q854+R854+S854+T854</f>
        <v>655054.1</v>
      </c>
      <c r="V854" s="65"/>
    </row>
    <row r="855" spans="1:22" s="201" customFormat="1" ht="13.5" hidden="1">
      <c r="A855" s="38">
        <v>23</v>
      </c>
      <c r="B855" s="39" t="s">
        <v>26</v>
      </c>
      <c r="C855" s="40" t="s">
        <v>33</v>
      </c>
      <c r="D855" s="55"/>
      <c r="E855" s="79" t="s">
        <v>34</v>
      </c>
      <c r="F855" s="43">
        <f>SUM(F856:F861)</f>
        <v>510.627</v>
      </c>
      <c r="G855" s="67">
        <f>SUM(G856:G861)</f>
        <v>0</v>
      </c>
      <c r="H855" s="68">
        <f>SUM(H856:H861)</f>
        <v>0</v>
      </c>
      <c r="I855" s="69"/>
      <c r="J855" s="59"/>
      <c r="K855" s="70"/>
      <c r="L855" s="71">
        <v>0.996359845232382</v>
      </c>
      <c r="M855" s="72">
        <f aca="true" t="shared" si="257" ref="M855:U855">SUM(M856:M861)</f>
        <v>403320.70000000007</v>
      </c>
      <c r="N855" s="72">
        <f t="shared" si="257"/>
        <v>356132.19999999995</v>
      </c>
      <c r="O855" s="72">
        <f t="shared" si="257"/>
        <v>0</v>
      </c>
      <c r="P855" s="72">
        <f t="shared" si="257"/>
        <v>0</v>
      </c>
      <c r="Q855" s="72">
        <f t="shared" si="257"/>
        <v>0</v>
      </c>
      <c r="R855" s="72">
        <f t="shared" si="257"/>
        <v>0</v>
      </c>
      <c r="S855" s="72">
        <f t="shared" si="257"/>
        <v>0</v>
      </c>
      <c r="T855" s="72">
        <f t="shared" si="257"/>
        <v>0</v>
      </c>
      <c r="U855" s="72">
        <f t="shared" si="257"/>
        <v>356132.19999999995</v>
      </c>
      <c r="V855" s="73"/>
    </row>
    <row r="856" spans="1:22" s="201" customFormat="1" ht="12.75" hidden="1">
      <c r="A856" s="52">
        <v>23</v>
      </c>
      <c r="B856" s="53" t="s">
        <v>35</v>
      </c>
      <c r="C856" s="54" t="s">
        <v>36</v>
      </c>
      <c r="D856" s="55" t="s">
        <v>1552</v>
      </c>
      <c r="E856" s="74" t="s">
        <v>1553</v>
      </c>
      <c r="F856" s="43">
        <v>284.235</v>
      </c>
      <c r="G856" s="162"/>
      <c r="H856" s="162"/>
      <c r="I856" s="58"/>
      <c r="J856" s="59">
        <f aca="true" t="shared" si="258" ref="J856:J861">+($F$7-$O$952-$Q$952-$P$952-$R$952-$S$952)/($F$952-$G$952*1-$H$952*0.5)*0.646*1.0268514</f>
        <v>742.8502282779862</v>
      </c>
      <c r="K856" s="60">
        <v>1.065228053001168</v>
      </c>
      <c r="L856" s="75">
        <v>0.99608417746601</v>
      </c>
      <c r="M856" s="63">
        <f aca="true" t="shared" si="259" ref="M856:M861">ROUND(J856*(F856-G856-H856*I856)*K856*(0.5+0.5*L856),1)</f>
        <v>224476.2</v>
      </c>
      <c r="N856" s="63">
        <f aca="true" t="shared" si="260" ref="N856:N861">ROUND(M856*0.883,1)</f>
        <v>198212.5</v>
      </c>
      <c r="O856" s="62"/>
      <c r="P856" s="76"/>
      <c r="Q856" s="77"/>
      <c r="R856" s="76"/>
      <c r="S856" s="77"/>
      <c r="T856" s="64"/>
      <c r="U856" s="45">
        <f aca="true" t="shared" si="261" ref="U856:U861">+N856+O856+T856+R856+S856+Q856</f>
        <v>198212.5</v>
      </c>
      <c r="V856" s="65"/>
    </row>
    <row r="857" spans="1:22" s="201" customFormat="1" ht="12.75" hidden="1">
      <c r="A857" s="52">
        <v>23</v>
      </c>
      <c r="B857" s="53" t="s">
        <v>32</v>
      </c>
      <c r="C857" s="54" t="s">
        <v>36</v>
      </c>
      <c r="D857" s="55" t="s">
        <v>1554</v>
      </c>
      <c r="E857" s="78" t="s">
        <v>1555</v>
      </c>
      <c r="F857" s="43">
        <v>17.541</v>
      </c>
      <c r="G857" s="57"/>
      <c r="H857" s="57"/>
      <c r="I857" s="58"/>
      <c r="J857" s="59">
        <f t="shared" si="258"/>
        <v>742.8502282779862</v>
      </c>
      <c r="K857" s="60">
        <v>1.065228053001168</v>
      </c>
      <c r="L857" s="75">
        <v>1.0680683006484546</v>
      </c>
      <c r="M857" s="63">
        <f t="shared" si="259"/>
        <v>14352.7</v>
      </c>
      <c r="N857" s="63">
        <f t="shared" si="260"/>
        <v>12673.4</v>
      </c>
      <c r="O857" s="62"/>
      <c r="P857" s="76"/>
      <c r="Q857" s="77"/>
      <c r="R857" s="76"/>
      <c r="S857" s="77"/>
      <c r="T857" s="64"/>
      <c r="U857" s="45">
        <f t="shared" si="261"/>
        <v>12673.4</v>
      </c>
      <c r="V857" s="65"/>
    </row>
    <row r="858" spans="1:22" s="201" customFormat="1" ht="12.75" hidden="1">
      <c r="A858" s="52">
        <v>23</v>
      </c>
      <c r="B858" s="53" t="s">
        <v>118</v>
      </c>
      <c r="C858" s="54" t="s">
        <v>36</v>
      </c>
      <c r="D858" s="55" t="s">
        <v>1556</v>
      </c>
      <c r="E858" s="78" t="s">
        <v>1557</v>
      </c>
      <c r="F858" s="43">
        <v>29.319</v>
      </c>
      <c r="G858" s="57"/>
      <c r="H858" s="57"/>
      <c r="I858" s="58"/>
      <c r="J858" s="59">
        <f t="shared" si="258"/>
        <v>742.8502282779862</v>
      </c>
      <c r="K858" s="60">
        <v>1.065228053001168</v>
      </c>
      <c r="L858" s="75">
        <v>0.9949293559808702</v>
      </c>
      <c r="M858" s="63">
        <f t="shared" si="259"/>
        <v>23141.4</v>
      </c>
      <c r="N858" s="63">
        <f t="shared" si="260"/>
        <v>20433.9</v>
      </c>
      <c r="O858" s="62"/>
      <c r="P858" s="76"/>
      <c r="Q858" s="77"/>
      <c r="R858" s="76"/>
      <c r="S858" s="77"/>
      <c r="T858" s="64"/>
      <c r="U858" s="45">
        <f t="shared" si="261"/>
        <v>20433.9</v>
      </c>
      <c r="V858" s="65"/>
    </row>
    <row r="859" spans="1:22" s="201" customFormat="1" ht="12.75" hidden="1">
      <c r="A859" s="52">
        <v>23</v>
      </c>
      <c r="B859" s="53" t="s">
        <v>127</v>
      </c>
      <c r="C859" s="54" t="s">
        <v>36</v>
      </c>
      <c r="D859" s="55" t="s">
        <v>1558</v>
      </c>
      <c r="E859" s="78" t="s">
        <v>1559</v>
      </c>
      <c r="F859" s="43">
        <v>25.032</v>
      </c>
      <c r="G859" s="57"/>
      <c r="H859" s="57"/>
      <c r="I859" s="58"/>
      <c r="J859" s="59">
        <f t="shared" si="258"/>
        <v>742.8502282779862</v>
      </c>
      <c r="K859" s="60">
        <v>1.065228053001168</v>
      </c>
      <c r="L859" s="75">
        <v>1.0231745248831299</v>
      </c>
      <c r="M859" s="63">
        <f t="shared" si="259"/>
        <v>20037.5</v>
      </c>
      <c r="N859" s="63">
        <f t="shared" si="260"/>
        <v>17693.1</v>
      </c>
      <c r="O859" s="62"/>
      <c r="P859" s="76"/>
      <c r="Q859" s="77"/>
      <c r="R859" s="76"/>
      <c r="S859" s="77"/>
      <c r="T859" s="64"/>
      <c r="U859" s="45">
        <f t="shared" si="261"/>
        <v>17693.1</v>
      </c>
      <c r="V859" s="65"/>
    </row>
    <row r="860" spans="1:22" ht="12.75" hidden="1">
      <c r="A860" s="52">
        <v>23</v>
      </c>
      <c r="B860" s="53" t="s">
        <v>51</v>
      </c>
      <c r="C860" s="54" t="s">
        <v>36</v>
      </c>
      <c r="D860" s="55" t="s">
        <v>1560</v>
      </c>
      <c r="E860" s="78" t="s">
        <v>1561</v>
      </c>
      <c r="F860" s="43">
        <v>68.543</v>
      </c>
      <c r="G860" s="57"/>
      <c r="H860" s="57"/>
      <c r="I860" s="58"/>
      <c r="J860" s="59">
        <f t="shared" si="258"/>
        <v>742.8502282779862</v>
      </c>
      <c r="K860" s="60">
        <v>1.065228053001168</v>
      </c>
      <c r="L860" s="75">
        <v>0.9891511066709908</v>
      </c>
      <c r="M860" s="63">
        <f t="shared" si="259"/>
        <v>53944.2</v>
      </c>
      <c r="N860" s="63">
        <f t="shared" si="260"/>
        <v>47632.7</v>
      </c>
      <c r="O860" s="62"/>
      <c r="P860" s="76"/>
      <c r="Q860" s="77"/>
      <c r="R860" s="76"/>
      <c r="S860" s="77"/>
      <c r="T860" s="64"/>
      <c r="U860" s="45">
        <f t="shared" si="261"/>
        <v>47632.7</v>
      </c>
      <c r="V860" s="65"/>
    </row>
    <row r="861" spans="1:22" ht="12.75" hidden="1">
      <c r="A861" s="52">
        <v>23</v>
      </c>
      <c r="B861" s="53" t="s">
        <v>55</v>
      </c>
      <c r="C861" s="54" t="s">
        <v>36</v>
      </c>
      <c r="D861" s="55" t="s">
        <v>1562</v>
      </c>
      <c r="E861" s="78" t="s">
        <v>1563</v>
      </c>
      <c r="F861" s="43">
        <v>85.957</v>
      </c>
      <c r="G861" s="57"/>
      <c r="H861" s="57"/>
      <c r="I861" s="58"/>
      <c r="J861" s="59">
        <f t="shared" si="258"/>
        <v>742.8502282779862</v>
      </c>
      <c r="K861" s="60">
        <v>1.065228053001168</v>
      </c>
      <c r="L861" s="75">
        <v>0.980901788616837</v>
      </c>
      <c r="M861" s="63">
        <f t="shared" si="259"/>
        <v>67368.7</v>
      </c>
      <c r="N861" s="63">
        <f t="shared" si="260"/>
        <v>59486.6</v>
      </c>
      <c r="O861" s="62"/>
      <c r="P861" s="76"/>
      <c r="Q861" s="77"/>
      <c r="R861" s="76"/>
      <c r="S861" s="77"/>
      <c r="T861" s="64"/>
      <c r="U861" s="45">
        <f t="shared" si="261"/>
        <v>59486.6</v>
      </c>
      <c r="V861" s="65"/>
    </row>
    <row r="862" spans="1:22" ht="29.25" customHeight="1" hidden="1">
      <c r="A862" s="38">
        <v>23</v>
      </c>
      <c r="B862" s="39" t="s">
        <v>26</v>
      </c>
      <c r="C862" s="40" t="s">
        <v>49</v>
      </c>
      <c r="D862" s="55"/>
      <c r="E862" s="79" t="s">
        <v>50</v>
      </c>
      <c r="F862" s="43">
        <f>SUM(F863:F882)</f>
        <v>713.998</v>
      </c>
      <c r="G862" s="67">
        <f>SUM(G863:G882)</f>
        <v>0</v>
      </c>
      <c r="H862" s="68">
        <f>SUM(H863:H882)</f>
        <v>0</v>
      </c>
      <c r="I862" s="69"/>
      <c r="J862" s="80"/>
      <c r="K862" s="70"/>
      <c r="L862" s="71">
        <v>1.065545413677828</v>
      </c>
      <c r="M862" s="72">
        <f aca="true" t="shared" si="262" ref="M862:U862">SUM(M863:M882)</f>
        <v>511546.4</v>
      </c>
      <c r="N862" s="72">
        <f t="shared" si="262"/>
        <v>463972.7</v>
      </c>
      <c r="O862" s="72">
        <f t="shared" si="262"/>
        <v>0</v>
      </c>
      <c r="P862" s="72">
        <f t="shared" si="262"/>
        <v>0</v>
      </c>
      <c r="Q862" s="72">
        <f t="shared" si="262"/>
        <v>0</v>
      </c>
      <c r="R862" s="72">
        <f t="shared" si="262"/>
        <v>0</v>
      </c>
      <c r="S862" s="72">
        <f t="shared" si="262"/>
        <v>0</v>
      </c>
      <c r="T862" s="72">
        <f t="shared" si="262"/>
        <v>0</v>
      </c>
      <c r="U862" s="72">
        <f t="shared" si="262"/>
        <v>463972.7</v>
      </c>
      <c r="V862" s="73"/>
    </row>
    <row r="863" spans="1:22" ht="12.75" hidden="1">
      <c r="A863" s="52">
        <v>23</v>
      </c>
      <c r="B863" s="53" t="s">
        <v>58</v>
      </c>
      <c r="C863" s="54" t="s">
        <v>52</v>
      </c>
      <c r="D863" s="55" t="s">
        <v>1564</v>
      </c>
      <c r="E863" s="56" t="s">
        <v>1565</v>
      </c>
      <c r="F863" s="43">
        <v>40.775</v>
      </c>
      <c r="G863" s="128"/>
      <c r="H863" s="128"/>
      <c r="I863" s="58"/>
      <c r="J863" s="59">
        <f aca="true" t="shared" si="263" ref="J863:J882">+($F$7-$O$952-$Q$952-$P$952-$R$952-$S$952)/($F$952-$G$952*1-$H$952*0.5)*0.646*1.0268514</f>
        <v>742.8502282779862</v>
      </c>
      <c r="K863" s="60">
        <v>0.9336178972540682</v>
      </c>
      <c r="L863" s="75">
        <v>1.0710952120506705</v>
      </c>
      <c r="M863" s="63">
        <f aca="true" t="shared" si="264" ref="M863:M882">ROUND(J863*(F863-G863-H863*I863)*K863*(0.5+0.5*L863),1)</f>
        <v>29284.3</v>
      </c>
      <c r="N863" s="63">
        <f aca="true" t="shared" si="265" ref="N863:N882">ROUND(M863*0.907,1)</f>
        <v>26560.9</v>
      </c>
      <c r="O863" s="62"/>
      <c r="P863" s="76"/>
      <c r="Q863" s="77"/>
      <c r="R863" s="76"/>
      <c r="S863" s="77"/>
      <c r="T863" s="64"/>
      <c r="U863" s="45">
        <f aca="true" t="shared" si="266" ref="U863:U882">+N863+O863+T863+R863+S863+Q863</f>
        <v>26560.9</v>
      </c>
      <c r="V863" s="65"/>
    </row>
    <row r="864" spans="1:22" ht="12.75" hidden="1">
      <c r="A864" s="52">
        <v>23</v>
      </c>
      <c r="B864" s="53" t="s">
        <v>61</v>
      </c>
      <c r="C864" s="54" t="s">
        <v>52</v>
      </c>
      <c r="D864" s="55" t="s">
        <v>1566</v>
      </c>
      <c r="E864" s="56" t="s">
        <v>1567</v>
      </c>
      <c r="F864" s="43">
        <v>35.249</v>
      </c>
      <c r="G864" s="57"/>
      <c r="H864" s="57"/>
      <c r="I864" s="58"/>
      <c r="J864" s="59">
        <f t="shared" si="263"/>
        <v>742.8502282779862</v>
      </c>
      <c r="K864" s="60">
        <v>0.9336178972540682</v>
      </c>
      <c r="L864" s="75">
        <v>1.0746838740944753</v>
      </c>
      <c r="M864" s="63">
        <f t="shared" si="264"/>
        <v>25359.4</v>
      </c>
      <c r="N864" s="63">
        <f t="shared" si="265"/>
        <v>23001</v>
      </c>
      <c r="O864" s="62"/>
      <c r="P864" s="76"/>
      <c r="Q864" s="77"/>
      <c r="R864" s="76"/>
      <c r="S864" s="77"/>
      <c r="T864" s="64"/>
      <c r="U864" s="45">
        <f t="shared" si="266"/>
        <v>23001</v>
      </c>
      <c r="V864" s="65"/>
    </row>
    <row r="865" spans="1:22" ht="12.75" hidden="1">
      <c r="A865" s="52">
        <v>23</v>
      </c>
      <c r="B865" s="53" t="s">
        <v>64</v>
      </c>
      <c r="C865" s="54" t="s">
        <v>52</v>
      </c>
      <c r="D865" s="55" t="s">
        <v>1568</v>
      </c>
      <c r="E865" s="56" t="s">
        <v>1569</v>
      </c>
      <c r="F865" s="43">
        <v>37.156</v>
      </c>
      <c r="G865" s="57"/>
      <c r="H865" s="57"/>
      <c r="I865" s="58"/>
      <c r="J865" s="59">
        <f t="shared" si="263"/>
        <v>742.8502282779862</v>
      </c>
      <c r="K865" s="60">
        <v>0.9336178972540682</v>
      </c>
      <c r="L865" s="75">
        <v>1.0626755118538795</v>
      </c>
      <c r="M865" s="63">
        <f t="shared" si="264"/>
        <v>26576.7</v>
      </c>
      <c r="N865" s="63">
        <f t="shared" si="265"/>
        <v>24105.1</v>
      </c>
      <c r="O865" s="62"/>
      <c r="P865" s="76"/>
      <c r="Q865" s="77"/>
      <c r="R865" s="76"/>
      <c r="S865" s="77"/>
      <c r="T865" s="64"/>
      <c r="U865" s="45">
        <f t="shared" si="266"/>
        <v>24105.1</v>
      </c>
      <c r="V865" s="65"/>
    </row>
    <row r="866" spans="1:22" ht="12.75" hidden="1">
      <c r="A866" s="52">
        <v>23</v>
      </c>
      <c r="B866" s="53">
        <v>10</v>
      </c>
      <c r="C866" s="54" t="s">
        <v>52</v>
      </c>
      <c r="D866" s="55" t="s">
        <v>1570</v>
      </c>
      <c r="E866" s="56" t="s">
        <v>1571</v>
      </c>
      <c r="F866" s="43">
        <v>44.437</v>
      </c>
      <c r="G866" s="57"/>
      <c r="H866" s="57"/>
      <c r="I866" s="58"/>
      <c r="J866" s="59">
        <f t="shared" si="263"/>
        <v>742.8502282779862</v>
      </c>
      <c r="K866" s="60">
        <v>0.9336178972540682</v>
      </c>
      <c r="L866" s="75">
        <v>1.0630358578914874</v>
      </c>
      <c r="M866" s="63">
        <f t="shared" si="264"/>
        <v>31790.1</v>
      </c>
      <c r="N866" s="63">
        <f t="shared" si="265"/>
        <v>28833.6</v>
      </c>
      <c r="O866" s="62"/>
      <c r="P866" s="76"/>
      <c r="Q866" s="77"/>
      <c r="R866" s="76"/>
      <c r="S866" s="77"/>
      <c r="T866" s="64"/>
      <c r="U866" s="45">
        <f t="shared" si="266"/>
        <v>28833.6</v>
      </c>
      <c r="V866" s="65"/>
    </row>
    <row r="867" spans="1:22" ht="12.75" hidden="1">
      <c r="A867" s="52">
        <v>23</v>
      </c>
      <c r="B867" s="53">
        <v>11</v>
      </c>
      <c r="C867" s="54" t="s">
        <v>52</v>
      </c>
      <c r="D867" s="55" t="s">
        <v>1572</v>
      </c>
      <c r="E867" s="56" t="s">
        <v>1573</v>
      </c>
      <c r="F867" s="43">
        <v>41.454</v>
      </c>
      <c r="G867" s="57"/>
      <c r="H867" s="57"/>
      <c r="I867" s="58"/>
      <c r="J867" s="59">
        <f t="shared" si="263"/>
        <v>742.8502282779862</v>
      </c>
      <c r="K867" s="60">
        <v>0.9336178972540682</v>
      </c>
      <c r="L867" s="75">
        <v>1.0808020339937543</v>
      </c>
      <c r="M867" s="63">
        <f t="shared" si="264"/>
        <v>29911.5</v>
      </c>
      <c r="N867" s="63">
        <f t="shared" si="265"/>
        <v>27129.7</v>
      </c>
      <c r="O867" s="62"/>
      <c r="P867" s="76"/>
      <c r="Q867" s="77"/>
      <c r="R867" s="76"/>
      <c r="S867" s="77"/>
      <c r="T867" s="64"/>
      <c r="U867" s="45">
        <f t="shared" si="266"/>
        <v>27129.7</v>
      </c>
      <c r="V867" s="65"/>
    </row>
    <row r="868" spans="1:22" ht="12.75" hidden="1">
      <c r="A868" s="52">
        <v>23</v>
      </c>
      <c r="B868" s="53">
        <v>12</v>
      </c>
      <c r="C868" s="54" t="s">
        <v>52</v>
      </c>
      <c r="D868" s="55" t="s">
        <v>1574</v>
      </c>
      <c r="E868" s="56" t="s">
        <v>1575</v>
      </c>
      <c r="F868" s="43">
        <v>27.372</v>
      </c>
      <c r="G868" s="57"/>
      <c r="H868" s="57"/>
      <c r="I868" s="58"/>
      <c r="J868" s="59">
        <f t="shared" si="263"/>
        <v>742.8502282779862</v>
      </c>
      <c r="K868" s="60">
        <v>0.9336178972540682</v>
      </c>
      <c r="L868" s="75">
        <v>1.0962134580446194</v>
      </c>
      <c r="M868" s="63">
        <f t="shared" si="264"/>
        <v>19896.8</v>
      </c>
      <c r="N868" s="63">
        <f t="shared" si="265"/>
        <v>18046.4</v>
      </c>
      <c r="O868" s="62"/>
      <c r="P868" s="76"/>
      <c r="Q868" s="77"/>
      <c r="R868" s="76"/>
      <c r="S868" s="77"/>
      <c r="T868" s="64"/>
      <c r="U868" s="45">
        <f t="shared" si="266"/>
        <v>18046.4</v>
      </c>
      <c r="V868" s="65"/>
    </row>
    <row r="869" spans="1:22" ht="12.75" hidden="1">
      <c r="A869" s="52">
        <v>23</v>
      </c>
      <c r="B869" s="53">
        <v>13</v>
      </c>
      <c r="C869" s="54" t="s">
        <v>52</v>
      </c>
      <c r="D869" s="55" t="s">
        <v>1576</v>
      </c>
      <c r="E869" s="56" t="s">
        <v>1577</v>
      </c>
      <c r="F869" s="43">
        <v>19.145</v>
      </c>
      <c r="G869" s="57"/>
      <c r="H869" s="57"/>
      <c r="I869" s="58"/>
      <c r="J869" s="59">
        <f t="shared" si="263"/>
        <v>742.8502282779862</v>
      </c>
      <c r="K869" s="60">
        <v>0.9336178972540682</v>
      </c>
      <c r="L869" s="75">
        <v>1.1177601183493833</v>
      </c>
      <c r="M869" s="63">
        <f t="shared" si="264"/>
        <v>14059.6</v>
      </c>
      <c r="N869" s="63">
        <f t="shared" si="265"/>
        <v>12752.1</v>
      </c>
      <c r="O869" s="62"/>
      <c r="P869" s="76"/>
      <c r="Q869" s="77"/>
      <c r="R869" s="76"/>
      <c r="S869" s="77"/>
      <c r="T869" s="64"/>
      <c r="U869" s="45">
        <f t="shared" si="266"/>
        <v>12752.1</v>
      </c>
      <c r="V869" s="65"/>
    </row>
    <row r="870" spans="1:22" ht="12.75" hidden="1">
      <c r="A870" s="52">
        <v>23</v>
      </c>
      <c r="B870" s="53">
        <v>14</v>
      </c>
      <c r="C870" s="54" t="s">
        <v>52</v>
      </c>
      <c r="D870" s="55" t="s">
        <v>1578</v>
      </c>
      <c r="E870" s="56" t="s">
        <v>1579</v>
      </c>
      <c r="F870" s="43">
        <v>14.931</v>
      </c>
      <c r="G870" s="57"/>
      <c r="H870" s="57"/>
      <c r="I870" s="58"/>
      <c r="J870" s="59">
        <f t="shared" si="263"/>
        <v>742.8502282779862</v>
      </c>
      <c r="K870" s="60">
        <v>0.9336178972540682</v>
      </c>
      <c r="L870" s="75">
        <v>1.0418046109964914</v>
      </c>
      <c r="M870" s="63">
        <f t="shared" si="264"/>
        <v>10571.7</v>
      </c>
      <c r="N870" s="63">
        <f t="shared" si="265"/>
        <v>9588.5</v>
      </c>
      <c r="O870" s="62"/>
      <c r="P870" s="76"/>
      <c r="Q870" s="77"/>
      <c r="R870" s="76"/>
      <c r="S870" s="77"/>
      <c r="T870" s="64"/>
      <c r="U870" s="45">
        <f t="shared" si="266"/>
        <v>9588.5</v>
      </c>
      <c r="V870" s="65"/>
    </row>
    <row r="871" spans="1:22" ht="12.75" hidden="1">
      <c r="A871" s="52">
        <v>23</v>
      </c>
      <c r="B871" s="53">
        <v>15</v>
      </c>
      <c r="C871" s="54" t="s">
        <v>52</v>
      </c>
      <c r="D871" s="55" t="s">
        <v>1580</v>
      </c>
      <c r="E871" s="56" t="s">
        <v>1581</v>
      </c>
      <c r="F871" s="43">
        <v>43.103</v>
      </c>
      <c r="G871" s="57"/>
      <c r="H871" s="57"/>
      <c r="I871" s="58"/>
      <c r="J871" s="59">
        <f t="shared" si="263"/>
        <v>742.8502282779862</v>
      </c>
      <c r="K871" s="60">
        <v>0.9336178972540682</v>
      </c>
      <c r="L871" s="75">
        <v>1.0698559009708328</v>
      </c>
      <c r="M871" s="63">
        <f t="shared" si="264"/>
        <v>30937.7</v>
      </c>
      <c r="N871" s="63">
        <f t="shared" si="265"/>
        <v>28060.5</v>
      </c>
      <c r="O871" s="62"/>
      <c r="P871" s="76"/>
      <c r="Q871" s="77"/>
      <c r="R871" s="76"/>
      <c r="S871" s="77"/>
      <c r="T871" s="64"/>
      <c r="U871" s="45">
        <f t="shared" si="266"/>
        <v>28060.5</v>
      </c>
      <c r="V871" s="65"/>
    </row>
    <row r="872" spans="1:22" ht="12.75" hidden="1">
      <c r="A872" s="52">
        <v>23</v>
      </c>
      <c r="B872" s="53">
        <v>16</v>
      </c>
      <c r="C872" s="54" t="s">
        <v>52</v>
      </c>
      <c r="D872" s="55" t="s">
        <v>1582</v>
      </c>
      <c r="E872" s="56" t="s">
        <v>1583</v>
      </c>
      <c r="F872" s="43">
        <v>23.706</v>
      </c>
      <c r="G872" s="57"/>
      <c r="H872" s="57"/>
      <c r="I872" s="58"/>
      <c r="J872" s="59">
        <f t="shared" si="263"/>
        <v>742.8502282779862</v>
      </c>
      <c r="K872" s="60">
        <v>0.9336178972540682</v>
      </c>
      <c r="L872" s="75">
        <v>1.0521475390652666</v>
      </c>
      <c r="M872" s="63">
        <f t="shared" si="264"/>
        <v>16869.7</v>
      </c>
      <c r="N872" s="63">
        <f t="shared" si="265"/>
        <v>15300.8</v>
      </c>
      <c r="O872" s="62"/>
      <c r="P872" s="76"/>
      <c r="Q872" s="77"/>
      <c r="R872" s="76"/>
      <c r="S872" s="77"/>
      <c r="T872" s="64"/>
      <c r="U872" s="45">
        <f t="shared" si="266"/>
        <v>15300.8</v>
      </c>
      <c r="V872" s="65"/>
    </row>
    <row r="873" spans="1:22" ht="12.75" hidden="1">
      <c r="A873" s="52">
        <v>23</v>
      </c>
      <c r="B873" s="53">
        <v>17</v>
      </c>
      <c r="C873" s="54" t="s">
        <v>52</v>
      </c>
      <c r="D873" s="55" t="s">
        <v>1584</v>
      </c>
      <c r="E873" s="56" t="s">
        <v>1585</v>
      </c>
      <c r="F873" s="43">
        <v>27.676</v>
      </c>
      <c r="G873" s="57"/>
      <c r="H873" s="57"/>
      <c r="I873" s="58"/>
      <c r="J873" s="59">
        <f t="shared" si="263"/>
        <v>742.8502282779862</v>
      </c>
      <c r="K873" s="60">
        <v>0.9336178972540682</v>
      </c>
      <c r="L873" s="75">
        <v>1.0624661915687748</v>
      </c>
      <c r="M873" s="63">
        <f t="shared" si="264"/>
        <v>19793.9</v>
      </c>
      <c r="N873" s="63">
        <f t="shared" si="265"/>
        <v>17953.1</v>
      </c>
      <c r="O873" s="62"/>
      <c r="P873" s="76"/>
      <c r="Q873" s="77"/>
      <c r="R873" s="76"/>
      <c r="S873" s="77"/>
      <c r="T873" s="64"/>
      <c r="U873" s="45">
        <f t="shared" si="266"/>
        <v>17953.1</v>
      </c>
      <c r="V873" s="65"/>
    </row>
    <row r="874" spans="1:22" ht="12.75" hidden="1">
      <c r="A874" s="52">
        <v>23</v>
      </c>
      <c r="B874" s="53">
        <v>18</v>
      </c>
      <c r="C874" s="54" t="s">
        <v>52</v>
      </c>
      <c r="D874" s="55" t="s">
        <v>1586</v>
      </c>
      <c r="E874" s="56" t="s">
        <v>1587</v>
      </c>
      <c r="F874" s="43">
        <v>36.288</v>
      </c>
      <c r="G874" s="57"/>
      <c r="H874" s="57"/>
      <c r="I874" s="58"/>
      <c r="J874" s="59">
        <f t="shared" si="263"/>
        <v>742.8502282779862</v>
      </c>
      <c r="K874" s="60">
        <v>0.9336178972540682</v>
      </c>
      <c r="L874" s="75">
        <v>1.0356467590222371</v>
      </c>
      <c r="M874" s="63">
        <f t="shared" si="264"/>
        <v>25615.7</v>
      </c>
      <c r="N874" s="63">
        <f t="shared" si="265"/>
        <v>23233.4</v>
      </c>
      <c r="O874" s="62"/>
      <c r="P874" s="76"/>
      <c r="Q874" s="77"/>
      <c r="R874" s="76"/>
      <c r="S874" s="77"/>
      <c r="T874" s="64"/>
      <c r="U874" s="45">
        <f t="shared" si="266"/>
        <v>23233.4</v>
      </c>
      <c r="V874" s="65"/>
    </row>
    <row r="875" spans="1:22" ht="12.75" hidden="1">
      <c r="A875" s="52">
        <v>23</v>
      </c>
      <c r="B875" s="53">
        <v>19</v>
      </c>
      <c r="C875" s="54" t="s">
        <v>52</v>
      </c>
      <c r="D875" s="55" t="s">
        <v>1588</v>
      </c>
      <c r="E875" s="56" t="s">
        <v>1589</v>
      </c>
      <c r="F875" s="43">
        <v>32.284</v>
      </c>
      <c r="G875" s="57"/>
      <c r="H875" s="57"/>
      <c r="I875" s="58"/>
      <c r="J875" s="59">
        <f t="shared" si="263"/>
        <v>742.8502282779862</v>
      </c>
      <c r="K875" s="60">
        <v>0.9336178972540682</v>
      </c>
      <c r="L875" s="75">
        <v>1.0782695149728425</v>
      </c>
      <c r="M875" s="63">
        <f t="shared" si="264"/>
        <v>23266.4</v>
      </c>
      <c r="N875" s="63">
        <f t="shared" si="265"/>
        <v>21102.6</v>
      </c>
      <c r="O875" s="62"/>
      <c r="P875" s="76"/>
      <c r="Q875" s="77"/>
      <c r="R875" s="76"/>
      <c r="S875" s="77"/>
      <c r="T875" s="64"/>
      <c r="U875" s="45">
        <f t="shared" si="266"/>
        <v>21102.6</v>
      </c>
      <c r="V875" s="65"/>
    </row>
    <row r="876" spans="1:22" ht="12.75" hidden="1">
      <c r="A876" s="52">
        <v>23</v>
      </c>
      <c r="B876" s="53">
        <v>20</v>
      </c>
      <c r="C876" s="54" t="s">
        <v>52</v>
      </c>
      <c r="D876" s="55" t="s">
        <v>1590</v>
      </c>
      <c r="E876" s="56" t="s">
        <v>1591</v>
      </c>
      <c r="F876" s="43">
        <v>34.193</v>
      </c>
      <c r="G876" s="57"/>
      <c r="H876" s="57"/>
      <c r="I876" s="58"/>
      <c r="J876" s="59">
        <f t="shared" si="263"/>
        <v>742.8502282779862</v>
      </c>
      <c r="K876" s="60">
        <v>0.9336178972540682</v>
      </c>
      <c r="L876" s="75">
        <v>1.065652417499257</v>
      </c>
      <c r="M876" s="63">
        <f t="shared" si="264"/>
        <v>24492.6</v>
      </c>
      <c r="N876" s="63">
        <f t="shared" si="265"/>
        <v>22214.8</v>
      </c>
      <c r="O876" s="62"/>
      <c r="P876" s="76"/>
      <c r="Q876" s="77"/>
      <c r="R876" s="76"/>
      <c r="S876" s="77"/>
      <c r="T876" s="64"/>
      <c r="U876" s="45">
        <f t="shared" si="266"/>
        <v>22214.8</v>
      </c>
      <c r="V876" s="65"/>
    </row>
    <row r="877" spans="1:22" ht="12.75" hidden="1">
      <c r="A877" s="52">
        <v>23</v>
      </c>
      <c r="B877" s="53">
        <v>21</v>
      </c>
      <c r="C877" s="54" t="s">
        <v>52</v>
      </c>
      <c r="D877" s="55" t="s">
        <v>1592</v>
      </c>
      <c r="E877" s="56" t="s">
        <v>1593</v>
      </c>
      <c r="F877" s="43">
        <v>42.908</v>
      </c>
      <c r="G877" s="57"/>
      <c r="H877" s="57"/>
      <c r="I877" s="58"/>
      <c r="J877" s="59">
        <f t="shared" si="263"/>
        <v>742.8502282779862</v>
      </c>
      <c r="K877" s="60">
        <v>0.9336178972540682</v>
      </c>
      <c r="L877" s="75">
        <v>1.069159095131013</v>
      </c>
      <c r="M877" s="63">
        <f t="shared" si="264"/>
        <v>30787.4</v>
      </c>
      <c r="N877" s="63">
        <f t="shared" si="265"/>
        <v>27924.2</v>
      </c>
      <c r="O877" s="62"/>
      <c r="P877" s="76"/>
      <c r="Q877" s="77"/>
      <c r="R877" s="76"/>
      <c r="S877" s="77"/>
      <c r="T877" s="64"/>
      <c r="U877" s="45">
        <f t="shared" si="266"/>
        <v>27924.2</v>
      </c>
      <c r="V877" s="65"/>
    </row>
    <row r="878" spans="1:22" ht="12.75" hidden="1">
      <c r="A878" s="52">
        <v>23</v>
      </c>
      <c r="B878" s="53">
        <v>22</v>
      </c>
      <c r="C878" s="54" t="s">
        <v>52</v>
      </c>
      <c r="D878" s="55" t="s">
        <v>1594</v>
      </c>
      <c r="E878" s="56" t="s">
        <v>1595</v>
      </c>
      <c r="F878" s="43">
        <v>35.032</v>
      </c>
      <c r="G878" s="57"/>
      <c r="H878" s="57"/>
      <c r="I878" s="58"/>
      <c r="J878" s="59">
        <f t="shared" si="263"/>
        <v>742.8502282779862</v>
      </c>
      <c r="K878" s="60">
        <v>0.9336178972540682</v>
      </c>
      <c r="L878" s="75">
        <v>1.0440721839399152</v>
      </c>
      <c r="M878" s="63">
        <f t="shared" si="264"/>
        <v>24831.4</v>
      </c>
      <c r="N878" s="63">
        <f t="shared" si="265"/>
        <v>22522.1</v>
      </c>
      <c r="O878" s="62"/>
      <c r="P878" s="76"/>
      <c r="Q878" s="77"/>
      <c r="R878" s="76"/>
      <c r="S878" s="77"/>
      <c r="T878" s="64"/>
      <c r="U878" s="45">
        <f t="shared" si="266"/>
        <v>22522.1</v>
      </c>
      <c r="V878" s="65"/>
    </row>
    <row r="879" spans="1:22" ht="12.75" hidden="1">
      <c r="A879" s="52">
        <v>23</v>
      </c>
      <c r="B879" s="53">
        <v>23</v>
      </c>
      <c r="C879" s="54" t="s">
        <v>52</v>
      </c>
      <c r="D879" s="55" t="s">
        <v>1596</v>
      </c>
      <c r="E879" s="56" t="s">
        <v>1597</v>
      </c>
      <c r="F879" s="43">
        <v>66.781</v>
      </c>
      <c r="G879" s="57"/>
      <c r="H879" s="57"/>
      <c r="I879" s="58"/>
      <c r="J879" s="59">
        <f t="shared" si="263"/>
        <v>742.8502282779862</v>
      </c>
      <c r="K879" s="60">
        <v>0.9336178972540682</v>
      </c>
      <c r="L879" s="75">
        <v>1.0445417667853867</v>
      </c>
      <c r="M879" s="63">
        <f t="shared" si="264"/>
        <v>47346.7</v>
      </c>
      <c r="N879" s="63">
        <f t="shared" si="265"/>
        <v>42943.5</v>
      </c>
      <c r="O879" s="62"/>
      <c r="P879" s="76"/>
      <c r="Q879" s="77"/>
      <c r="R879" s="76"/>
      <c r="S879" s="77"/>
      <c r="T879" s="64"/>
      <c r="U879" s="45">
        <f t="shared" si="266"/>
        <v>42943.5</v>
      </c>
      <c r="V879" s="65"/>
    </row>
    <row r="880" spans="1:22" ht="12.75" hidden="1">
      <c r="A880" s="52">
        <v>23</v>
      </c>
      <c r="B880" s="53">
        <v>24</v>
      </c>
      <c r="C880" s="54" t="s">
        <v>52</v>
      </c>
      <c r="D880" s="55" t="s">
        <v>1598</v>
      </c>
      <c r="E880" s="56" t="s">
        <v>1599</v>
      </c>
      <c r="F880" s="43">
        <v>26.85</v>
      </c>
      <c r="G880" s="57"/>
      <c r="H880" s="57"/>
      <c r="I880" s="58"/>
      <c r="J880" s="59">
        <f t="shared" si="263"/>
        <v>742.8502282779862</v>
      </c>
      <c r="K880" s="60">
        <v>0.9336178972540682</v>
      </c>
      <c r="L880" s="75">
        <v>1.1011824568057154</v>
      </c>
      <c r="M880" s="63">
        <f t="shared" si="264"/>
        <v>19563.6</v>
      </c>
      <c r="N880" s="63">
        <f t="shared" si="265"/>
        <v>17744.2</v>
      </c>
      <c r="O880" s="62"/>
      <c r="P880" s="76"/>
      <c r="Q880" s="77"/>
      <c r="R880" s="76"/>
      <c r="S880" s="77"/>
      <c r="T880" s="64"/>
      <c r="U880" s="45">
        <f t="shared" si="266"/>
        <v>17744.2</v>
      </c>
      <c r="V880" s="65"/>
    </row>
    <row r="881" spans="1:22" ht="12.75" hidden="1">
      <c r="A881" s="52">
        <v>23</v>
      </c>
      <c r="B881" s="53">
        <v>25</v>
      </c>
      <c r="C881" s="54" t="s">
        <v>52</v>
      </c>
      <c r="D881" s="55" t="s">
        <v>1600</v>
      </c>
      <c r="E881" s="56" t="s">
        <v>1601</v>
      </c>
      <c r="F881" s="43">
        <v>41.118</v>
      </c>
      <c r="G881" s="57"/>
      <c r="H881" s="57"/>
      <c r="I881" s="58"/>
      <c r="J881" s="59">
        <f t="shared" si="263"/>
        <v>742.8502282779862</v>
      </c>
      <c r="K881" s="60">
        <v>0.9336178972540682</v>
      </c>
      <c r="L881" s="75">
        <v>1.0604313442389344</v>
      </c>
      <c r="M881" s="63">
        <f t="shared" si="264"/>
        <v>29378.6</v>
      </c>
      <c r="N881" s="63">
        <f t="shared" si="265"/>
        <v>26646.4</v>
      </c>
      <c r="O881" s="62"/>
      <c r="P881" s="76"/>
      <c r="Q881" s="77"/>
      <c r="R881" s="76"/>
      <c r="S881" s="77"/>
      <c r="T881" s="64"/>
      <c r="U881" s="45">
        <f t="shared" si="266"/>
        <v>26646.4</v>
      </c>
      <c r="V881" s="65"/>
    </row>
    <row r="882" spans="1:22" ht="12.75" hidden="1">
      <c r="A882" s="52">
        <v>23</v>
      </c>
      <c r="B882" s="53">
        <v>26</v>
      </c>
      <c r="C882" s="54" t="s">
        <v>52</v>
      </c>
      <c r="D882" s="55" t="s">
        <v>1602</v>
      </c>
      <c r="E882" s="56" t="s">
        <v>1603</v>
      </c>
      <c r="F882" s="43">
        <v>43.54</v>
      </c>
      <c r="G882" s="57"/>
      <c r="H882" s="57"/>
      <c r="I882" s="58"/>
      <c r="J882" s="59">
        <f t="shared" si="263"/>
        <v>742.8502282779862</v>
      </c>
      <c r="K882" s="60">
        <v>0.9336178972540682</v>
      </c>
      <c r="L882" s="75">
        <v>1.0672887410304062</v>
      </c>
      <c r="M882" s="63">
        <f t="shared" si="264"/>
        <v>31212.6</v>
      </c>
      <c r="N882" s="63">
        <f t="shared" si="265"/>
        <v>28309.8</v>
      </c>
      <c r="O882" s="62"/>
      <c r="P882" s="76"/>
      <c r="Q882" s="77"/>
      <c r="R882" s="76"/>
      <c r="S882" s="77"/>
      <c r="T882" s="64"/>
      <c r="U882" s="45">
        <f t="shared" si="266"/>
        <v>28309.8</v>
      </c>
      <c r="V882" s="65"/>
    </row>
    <row r="883" spans="1:22" s="154" customFormat="1" ht="26.25" hidden="1">
      <c r="A883" s="38">
        <v>23</v>
      </c>
      <c r="B883" s="39" t="s">
        <v>26</v>
      </c>
      <c r="C883" s="40" t="s">
        <v>111</v>
      </c>
      <c r="D883" s="148"/>
      <c r="E883" s="79" t="s">
        <v>112</v>
      </c>
      <c r="F883" s="43">
        <f>SUM(F884:F886)</f>
        <v>18.34</v>
      </c>
      <c r="G883" s="149">
        <f>SUM(G884:G886)</f>
        <v>0</v>
      </c>
      <c r="H883" s="149">
        <f>SUM(H884:H886)</f>
        <v>0</v>
      </c>
      <c r="I883" s="150"/>
      <c r="J883" s="151"/>
      <c r="K883" s="150"/>
      <c r="L883" s="152">
        <v>0</v>
      </c>
      <c r="M883" s="85">
        <f aca="true" t="shared" si="267" ref="M883:U883">SUM(M884:M886)</f>
        <v>12993.900000000001</v>
      </c>
      <c r="N883" s="85">
        <f t="shared" si="267"/>
        <v>11785.5</v>
      </c>
      <c r="O883" s="85">
        <f t="shared" si="267"/>
        <v>0</v>
      </c>
      <c r="P883" s="85">
        <f t="shared" si="267"/>
        <v>0</v>
      </c>
      <c r="Q883" s="85">
        <f t="shared" si="267"/>
        <v>0</v>
      </c>
      <c r="R883" s="85">
        <f t="shared" si="267"/>
        <v>0</v>
      </c>
      <c r="S883" s="85">
        <f t="shared" si="267"/>
        <v>0</v>
      </c>
      <c r="T883" s="85">
        <f t="shared" si="267"/>
        <v>0</v>
      </c>
      <c r="U883" s="85">
        <f t="shared" si="267"/>
        <v>11785.5</v>
      </c>
      <c r="V883" s="135"/>
    </row>
    <row r="884" spans="1:22" ht="25.5" hidden="1">
      <c r="A884" s="52">
        <v>23</v>
      </c>
      <c r="B884" s="53">
        <v>27</v>
      </c>
      <c r="C884" s="54" t="s">
        <v>113</v>
      </c>
      <c r="D884" s="55" t="s">
        <v>1604</v>
      </c>
      <c r="E884" s="56" t="s">
        <v>1605</v>
      </c>
      <c r="F884" s="43">
        <v>9.003</v>
      </c>
      <c r="G884" s="57"/>
      <c r="H884" s="57"/>
      <c r="I884" s="58"/>
      <c r="J884" s="59">
        <f>+($F$7-$O$952-$Q$952-$P$952-$R$952-$S$952)/($F$952-$G$952*1-$H$952*0.5)*0.646*1.0268514</f>
        <v>742.8502282779862</v>
      </c>
      <c r="K884" s="60">
        <v>0.9336178972540682</v>
      </c>
      <c r="L884" s="75">
        <v>1.0445417667853867</v>
      </c>
      <c r="M884" s="63">
        <f>ROUND(J884*(F884-G884-H884*I884)*K884*(0.5+0.5*L884),1)</f>
        <v>6383</v>
      </c>
      <c r="N884" s="63">
        <f>ROUND(M884*0.907,1)</f>
        <v>5789.4</v>
      </c>
      <c r="O884" s="62"/>
      <c r="P884" s="76"/>
      <c r="Q884" s="77"/>
      <c r="R884" s="76"/>
      <c r="S884" s="77"/>
      <c r="T884" s="64"/>
      <c r="U884" s="45">
        <f>+N884+O884+T884+R884+S884+Q884</f>
        <v>5789.4</v>
      </c>
      <c r="V884" s="65"/>
    </row>
    <row r="885" spans="1:22" ht="25.5" hidden="1">
      <c r="A885" s="52">
        <v>23</v>
      </c>
      <c r="B885" s="53">
        <v>28</v>
      </c>
      <c r="C885" s="54" t="s">
        <v>113</v>
      </c>
      <c r="D885" s="55" t="s">
        <v>1606</v>
      </c>
      <c r="E885" s="56" t="s">
        <v>1607</v>
      </c>
      <c r="F885" s="43">
        <v>5.05</v>
      </c>
      <c r="G885" s="57"/>
      <c r="H885" s="57"/>
      <c r="I885" s="58"/>
      <c r="J885" s="59">
        <f>+($F$7-$O$952-$Q$952-$P$952-$R$952-$S$952)/($F$952-$G$952*1-$H$952*0.5)*0.646*1.0268514</f>
        <v>742.8502282779862</v>
      </c>
      <c r="K885" s="60">
        <v>0.9336178972540682</v>
      </c>
      <c r="L885" s="75">
        <v>1.0418046109964914</v>
      </c>
      <c r="M885" s="63">
        <f>ROUND(J885*(F885-G885-H885*I885)*K885*(0.5+0.5*L885),1)</f>
        <v>3575.6</v>
      </c>
      <c r="N885" s="63">
        <f>ROUND(M885*0.907,1)</f>
        <v>3243.1</v>
      </c>
      <c r="O885" s="62"/>
      <c r="P885" s="76"/>
      <c r="Q885" s="77"/>
      <c r="R885" s="76"/>
      <c r="S885" s="77"/>
      <c r="T885" s="64"/>
      <c r="U885" s="45">
        <f>+N885+O885+T885+R885+S885+Q885</f>
        <v>3243.1</v>
      </c>
      <c r="V885" s="65"/>
    </row>
    <row r="886" spans="1:22" ht="25.5" hidden="1">
      <c r="A886" s="52">
        <v>23</v>
      </c>
      <c r="B886" s="53">
        <v>29</v>
      </c>
      <c r="C886" s="54" t="s">
        <v>113</v>
      </c>
      <c r="D886" s="55" t="s">
        <v>1608</v>
      </c>
      <c r="E886" s="56" t="s">
        <v>1609</v>
      </c>
      <c r="F886" s="43">
        <v>4.287</v>
      </c>
      <c r="G886" s="57"/>
      <c r="H886" s="57"/>
      <c r="I886" s="58"/>
      <c r="J886" s="59">
        <f>+($F$7-$O$952-$Q$952-$P$952-$R$952-$S$952)/($F$952-$G$952*1-$H$952*0.5)*0.646*1.0268514</f>
        <v>742.8502282779862</v>
      </c>
      <c r="K886" s="60">
        <v>0.9336178972540682</v>
      </c>
      <c r="L886" s="75">
        <v>1.0418046109964914</v>
      </c>
      <c r="M886" s="63">
        <f>ROUND(J886*(F886-G886-H886*I886)*K886*(0.5+0.5*L886),1)</f>
        <v>3035.3</v>
      </c>
      <c r="N886" s="63">
        <f>ROUND(M886*0.907,1)</f>
        <v>2753</v>
      </c>
      <c r="O886" s="62"/>
      <c r="P886" s="76"/>
      <c r="Q886" s="77"/>
      <c r="R886" s="76"/>
      <c r="S886" s="77"/>
      <c r="T886" s="64"/>
      <c r="U886" s="45">
        <f>+N886+O886+T886+R886+S886+Q886</f>
        <v>2753</v>
      </c>
      <c r="V886" s="65"/>
    </row>
    <row r="887" spans="1:22" ht="25.5" hidden="1">
      <c r="A887" s="170">
        <v>24</v>
      </c>
      <c r="B887" s="167" t="s">
        <v>26</v>
      </c>
      <c r="C887" s="40" t="s">
        <v>27</v>
      </c>
      <c r="D887" s="55"/>
      <c r="E887" s="168" t="s">
        <v>1610</v>
      </c>
      <c r="F887" s="43">
        <f>F888+F889+F892+F904</f>
        <v>909.893</v>
      </c>
      <c r="G887" s="44">
        <f>+G888+G889+G892+G904</f>
        <v>0</v>
      </c>
      <c r="H887" s="44">
        <f>+H888+H889+H892+H904</f>
        <v>0</v>
      </c>
      <c r="I887" s="45"/>
      <c r="J887" s="46"/>
      <c r="K887" s="47"/>
      <c r="L887" s="48">
        <v>0.9724467191859931</v>
      </c>
      <c r="M887" s="49">
        <f aca="true" t="shared" si="268" ref="M887:U887">+M888+M889+M892+M904</f>
        <v>986754.8</v>
      </c>
      <c r="N887" s="49">
        <f t="shared" si="268"/>
        <v>986754.7999999999</v>
      </c>
      <c r="O887" s="49">
        <f t="shared" si="268"/>
        <v>3697.7</v>
      </c>
      <c r="P887" s="49">
        <f t="shared" si="268"/>
        <v>206.9</v>
      </c>
      <c r="Q887" s="49">
        <f t="shared" si="268"/>
        <v>17621.8</v>
      </c>
      <c r="R887" s="49">
        <f t="shared" si="268"/>
        <v>16327.7</v>
      </c>
      <c r="S887" s="49">
        <f t="shared" si="268"/>
        <v>232.6</v>
      </c>
      <c r="T887" s="49">
        <f t="shared" si="268"/>
        <v>0</v>
      </c>
      <c r="U887" s="49">
        <f t="shared" si="268"/>
        <v>1024841.5</v>
      </c>
      <c r="V887" s="65"/>
    </row>
    <row r="888" spans="1:22" ht="12.75" hidden="1">
      <c r="A888" s="52">
        <v>24</v>
      </c>
      <c r="B888" s="53" t="s">
        <v>26</v>
      </c>
      <c r="C888" s="54" t="s">
        <v>29</v>
      </c>
      <c r="D888" s="55" t="s">
        <v>1611</v>
      </c>
      <c r="E888" s="56" t="s">
        <v>31</v>
      </c>
      <c r="F888" s="43">
        <v>0</v>
      </c>
      <c r="G888" s="128"/>
      <c r="H888" s="128"/>
      <c r="I888" s="58"/>
      <c r="J888" s="59">
        <f>+($F$7-$O$952-$Q$952-$P$952-R$952-$S$952)/$F$952*0.354*0.951</f>
        <v>376.76602120660414</v>
      </c>
      <c r="K888" s="60">
        <v>0</v>
      </c>
      <c r="L888" s="48">
        <v>0.9724467191859931</v>
      </c>
      <c r="M888" s="49">
        <f>ROUND(J888*(F889+F892+F904)*(0.5+0.5*L888),1)</f>
        <v>338093.9</v>
      </c>
      <c r="N888" s="49">
        <f>M888+ROUND(SUM(M890:M891)*0.117+SUM(M893:M903)*0.093+SUM(M905:M914)*0.093,1)+0.3</f>
        <v>403538</v>
      </c>
      <c r="O888" s="62"/>
      <c r="P888" s="62">
        <v>206.9</v>
      </c>
      <c r="Q888" s="63">
        <v>17621.8</v>
      </c>
      <c r="R888" s="62">
        <v>16327.7</v>
      </c>
      <c r="S888" s="63">
        <v>232.6</v>
      </c>
      <c r="T888" s="64"/>
      <c r="U888" s="45">
        <f>N888+O888+P888+Q888+R888+S888+T888</f>
        <v>437927</v>
      </c>
      <c r="V888" s="65"/>
    </row>
    <row r="889" spans="1:22" ht="13.5" hidden="1">
      <c r="A889" s="38">
        <v>24</v>
      </c>
      <c r="B889" s="39" t="s">
        <v>26</v>
      </c>
      <c r="C889" s="40" t="s">
        <v>33</v>
      </c>
      <c r="D889" s="55"/>
      <c r="E889" s="79" t="s">
        <v>1612</v>
      </c>
      <c r="F889" s="43">
        <f>SUM(F890:F891)</f>
        <v>277.286</v>
      </c>
      <c r="G889" s="67">
        <f>SUM(G890:G891)</f>
        <v>0</v>
      </c>
      <c r="H889" s="68">
        <f>SUM(H890:H891)</f>
        <v>0</v>
      </c>
      <c r="I889" s="69"/>
      <c r="J889" s="59"/>
      <c r="K889" s="70"/>
      <c r="L889" s="71">
        <v>0.9439231780768261</v>
      </c>
      <c r="M889" s="72">
        <f aca="true" t="shared" si="269" ref="M889:U889">SUM(M890:M891)</f>
        <v>213265.59999999998</v>
      </c>
      <c r="N889" s="72">
        <f t="shared" si="269"/>
        <v>188313.5</v>
      </c>
      <c r="O889" s="72">
        <f t="shared" si="269"/>
        <v>0</v>
      </c>
      <c r="P889" s="72">
        <f t="shared" si="269"/>
        <v>0</v>
      </c>
      <c r="Q889" s="72">
        <f t="shared" si="269"/>
        <v>0</v>
      </c>
      <c r="R889" s="72">
        <f t="shared" si="269"/>
        <v>0</v>
      </c>
      <c r="S889" s="72">
        <f t="shared" si="269"/>
        <v>0</v>
      </c>
      <c r="T889" s="72">
        <f t="shared" si="269"/>
        <v>0</v>
      </c>
      <c r="U889" s="72">
        <f t="shared" si="269"/>
        <v>188313.5</v>
      </c>
      <c r="V889" s="73"/>
    </row>
    <row r="890" spans="1:22" ht="12.75" hidden="1">
      <c r="A890" s="52">
        <v>24</v>
      </c>
      <c r="B890" s="53" t="s">
        <v>35</v>
      </c>
      <c r="C890" s="54" t="s">
        <v>36</v>
      </c>
      <c r="D890" s="55" t="s">
        <v>1613</v>
      </c>
      <c r="E890" s="74" t="s">
        <v>1614</v>
      </c>
      <c r="F890" s="43">
        <v>266.366</v>
      </c>
      <c r="G890" s="162"/>
      <c r="H890" s="162"/>
      <c r="I890" s="58"/>
      <c r="J890" s="59">
        <f>+($F$7-$O$952-$Q$952-$P$952-$R$952-$S$952)/($F$952-$G$952*1-$H$952*0.5)*0.646*1.0268514</f>
        <v>742.8502282779862</v>
      </c>
      <c r="K890" s="60">
        <v>1.065228053001168</v>
      </c>
      <c r="L890" s="75">
        <v>0.9438891321746578</v>
      </c>
      <c r="M890" s="63">
        <f>ROUND(J890*(F890-G890-H890*I890)*K890*(0.5+0.5*L890),1)</f>
        <v>204863.3</v>
      </c>
      <c r="N890" s="63">
        <f>ROUND(M890*0.883,1)</f>
        <v>180894.3</v>
      </c>
      <c r="O890" s="62"/>
      <c r="P890" s="76"/>
      <c r="Q890" s="77"/>
      <c r="R890" s="76"/>
      <c r="S890" s="77"/>
      <c r="T890" s="64"/>
      <c r="U890" s="45">
        <f>+N890+O890+T890+R890+S890+Q890</f>
        <v>180894.3</v>
      </c>
      <c r="V890" s="65"/>
    </row>
    <row r="891" spans="1:22" ht="12.75" hidden="1">
      <c r="A891" s="52">
        <v>24</v>
      </c>
      <c r="B891" s="53">
        <v>2</v>
      </c>
      <c r="C891" s="54" t="s">
        <v>36</v>
      </c>
      <c r="D891" s="55" t="s">
        <v>1615</v>
      </c>
      <c r="E891" s="78" t="s">
        <v>1616</v>
      </c>
      <c r="F891" s="43">
        <v>10.92</v>
      </c>
      <c r="G891" s="57"/>
      <c r="H891" s="57"/>
      <c r="I891" s="58"/>
      <c r="J891" s="59">
        <f>+($F$7-$O$952-$Q$952-$P$952-$R$952-$S$952)/($F$952-$G$952*1-$H$952*0.5)*0.646*1.0268514</f>
        <v>742.8502282779862</v>
      </c>
      <c r="K891" s="60">
        <v>1.065228053001168</v>
      </c>
      <c r="L891" s="75">
        <v>0.9447413265281991</v>
      </c>
      <c r="M891" s="63">
        <f>ROUND(J891*(F891-G891-H891*I891)*K891*(0.5+0.5*L891),1)</f>
        <v>8402.3</v>
      </c>
      <c r="N891" s="63">
        <f>ROUND(M891*0.883,1)</f>
        <v>7419.2</v>
      </c>
      <c r="O891" s="62"/>
      <c r="P891" s="76"/>
      <c r="Q891" s="77"/>
      <c r="R891" s="76"/>
      <c r="S891" s="77"/>
      <c r="T891" s="64"/>
      <c r="U891" s="45">
        <f>+N891+O891+T891+R891+S891+Q891</f>
        <v>7419.2</v>
      </c>
      <c r="V891" s="65"/>
    </row>
    <row r="892" spans="1:22" ht="26.25" customHeight="1" hidden="1">
      <c r="A892" s="38">
        <v>24</v>
      </c>
      <c r="B892" s="39" t="s">
        <v>26</v>
      </c>
      <c r="C892" s="40" t="s">
        <v>49</v>
      </c>
      <c r="D892" s="55"/>
      <c r="E892" s="79" t="s">
        <v>50</v>
      </c>
      <c r="F892" s="43">
        <f>SUM(F893:F903)</f>
        <v>550.173</v>
      </c>
      <c r="G892" s="67">
        <f>SUM(G893:G903)</f>
        <v>0</v>
      </c>
      <c r="H892" s="68">
        <f>SUM(H893:H903)</f>
        <v>0</v>
      </c>
      <c r="I892" s="69"/>
      <c r="J892" s="80"/>
      <c r="K892" s="70"/>
      <c r="L892" s="71">
        <v>0.9847668106143349</v>
      </c>
      <c r="M892" s="72">
        <f aca="true" t="shared" si="270" ref="M892:U892">SUM(M893:M903)</f>
        <v>378556.4</v>
      </c>
      <c r="N892" s="72">
        <f t="shared" si="270"/>
        <v>343350.39999999997</v>
      </c>
      <c r="O892" s="72">
        <f t="shared" si="270"/>
        <v>3640.3999999999996</v>
      </c>
      <c r="P892" s="72">
        <f t="shared" si="270"/>
        <v>0</v>
      </c>
      <c r="Q892" s="72">
        <f t="shared" si="270"/>
        <v>0</v>
      </c>
      <c r="R892" s="72">
        <f t="shared" si="270"/>
        <v>0</v>
      </c>
      <c r="S892" s="72">
        <f t="shared" si="270"/>
        <v>0</v>
      </c>
      <c r="T892" s="72">
        <f t="shared" si="270"/>
        <v>0</v>
      </c>
      <c r="U892" s="72">
        <f t="shared" si="270"/>
        <v>346990.8</v>
      </c>
      <c r="V892" s="73"/>
    </row>
    <row r="893" spans="1:22" ht="12.75" hidden="1">
      <c r="A893" s="52">
        <v>24</v>
      </c>
      <c r="B893" s="53" t="s">
        <v>32</v>
      </c>
      <c r="C893" s="54" t="s">
        <v>52</v>
      </c>
      <c r="D893" s="55" t="s">
        <v>1617</v>
      </c>
      <c r="E893" s="56" t="s">
        <v>1618</v>
      </c>
      <c r="F893" s="43">
        <v>55.595</v>
      </c>
      <c r="G893" s="128"/>
      <c r="H893" s="128"/>
      <c r="I893" s="58"/>
      <c r="J893" s="59">
        <f aca="true" t="shared" si="271" ref="J893:J903">+($F$7-$O$952-$Q$952-$P$952-$R$952-$S$952)/($F$952-$G$952*1-$H$952*0.5)*0.646*1.0268514</f>
        <v>742.8502282779862</v>
      </c>
      <c r="K893" s="60">
        <v>0.9336178972540682</v>
      </c>
      <c r="L893" s="75">
        <v>0.9795552170908397</v>
      </c>
      <c r="M893" s="63">
        <f aca="true" t="shared" si="272" ref="M893:M903">ROUND(J893*(F893-G893-H893*I893)*K893*(0.5+0.5*L893),1)</f>
        <v>38163.1</v>
      </c>
      <c r="N893" s="63">
        <f aca="true" t="shared" si="273" ref="N893:N903">ROUND(M893*0.907,1)</f>
        <v>34613.9</v>
      </c>
      <c r="O893" s="62">
        <v>296.7</v>
      </c>
      <c r="P893" s="76"/>
      <c r="Q893" s="77"/>
      <c r="R893" s="76"/>
      <c r="S893" s="77"/>
      <c r="T893" s="64"/>
      <c r="U893" s="45">
        <f aca="true" t="shared" si="274" ref="U893:U903">+N893+O893+T893+R893+S893+Q893</f>
        <v>34910.6</v>
      </c>
      <c r="V893" s="65"/>
    </row>
    <row r="894" spans="1:22" ht="12.75" hidden="1">
      <c r="A894" s="52">
        <v>24</v>
      </c>
      <c r="B894" s="53" t="s">
        <v>118</v>
      </c>
      <c r="C894" s="54" t="s">
        <v>52</v>
      </c>
      <c r="D894" s="55" t="s">
        <v>1619</v>
      </c>
      <c r="E894" s="56" t="s">
        <v>1620</v>
      </c>
      <c r="F894" s="43">
        <v>33.067</v>
      </c>
      <c r="G894" s="57"/>
      <c r="H894" s="57"/>
      <c r="I894" s="58"/>
      <c r="J894" s="59">
        <f t="shared" si="271"/>
        <v>742.8502282779862</v>
      </c>
      <c r="K894" s="60">
        <v>0.9336178972540682</v>
      </c>
      <c r="L894" s="75">
        <v>0.9547803375795451</v>
      </c>
      <c r="M894" s="63">
        <f t="shared" si="272"/>
        <v>22414.7</v>
      </c>
      <c r="N894" s="63">
        <f t="shared" si="273"/>
        <v>20330.1</v>
      </c>
      <c r="O894" s="62"/>
      <c r="P894" s="76"/>
      <c r="Q894" s="77"/>
      <c r="R894" s="76"/>
      <c r="S894" s="77"/>
      <c r="T894" s="64"/>
      <c r="U894" s="45">
        <f t="shared" si="274"/>
        <v>20330.1</v>
      </c>
      <c r="V894" s="65"/>
    </row>
    <row r="895" spans="1:22" ht="12.75" hidden="1">
      <c r="A895" s="52">
        <v>24</v>
      </c>
      <c r="B895" s="53" t="s">
        <v>127</v>
      </c>
      <c r="C895" s="54" t="s">
        <v>52</v>
      </c>
      <c r="D895" s="55" t="s">
        <v>1621</v>
      </c>
      <c r="E895" s="56" t="s">
        <v>1622</v>
      </c>
      <c r="F895" s="43">
        <v>56.966</v>
      </c>
      <c r="G895" s="57"/>
      <c r="H895" s="57"/>
      <c r="I895" s="58"/>
      <c r="J895" s="59">
        <f t="shared" si="271"/>
        <v>742.8502282779862</v>
      </c>
      <c r="K895" s="60">
        <v>0.9336178972540682</v>
      </c>
      <c r="L895" s="75">
        <v>0.9512473490315148</v>
      </c>
      <c r="M895" s="63">
        <f t="shared" si="272"/>
        <v>38545</v>
      </c>
      <c r="N895" s="63">
        <f t="shared" si="273"/>
        <v>34960.3</v>
      </c>
      <c r="O895" s="62"/>
      <c r="P895" s="76"/>
      <c r="Q895" s="77"/>
      <c r="R895" s="76"/>
      <c r="S895" s="77"/>
      <c r="T895" s="64"/>
      <c r="U895" s="45">
        <f t="shared" si="274"/>
        <v>34960.3</v>
      </c>
      <c r="V895" s="65"/>
    </row>
    <row r="896" spans="1:22" ht="12.75" hidden="1">
      <c r="A896" s="52">
        <v>24</v>
      </c>
      <c r="B896" s="53" t="s">
        <v>51</v>
      </c>
      <c r="C896" s="54" t="s">
        <v>52</v>
      </c>
      <c r="D896" s="55" t="s">
        <v>1623</v>
      </c>
      <c r="E896" s="56" t="s">
        <v>1624</v>
      </c>
      <c r="F896" s="43">
        <v>49.734</v>
      </c>
      <c r="G896" s="57"/>
      <c r="H896" s="57"/>
      <c r="I896" s="58"/>
      <c r="J896" s="59">
        <f t="shared" si="271"/>
        <v>742.8502282779862</v>
      </c>
      <c r="K896" s="60">
        <v>0.9336178972540682</v>
      </c>
      <c r="L896" s="75">
        <v>1.006157383654847</v>
      </c>
      <c r="M896" s="63">
        <f t="shared" si="272"/>
        <v>34598.6</v>
      </c>
      <c r="N896" s="63">
        <f t="shared" si="273"/>
        <v>31380.9</v>
      </c>
      <c r="O896" s="62"/>
      <c r="P896" s="76"/>
      <c r="Q896" s="77"/>
      <c r="R896" s="76"/>
      <c r="S896" s="77"/>
      <c r="T896" s="64"/>
      <c r="U896" s="45">
        <f t="shared" si="274"/>
        <v>31380.9</v>
      </c>
      <c r="V896" s="65"/>
    </row>
    <row r="897" spans="1:22" ht="12.75" hidden="1">
      <c r="A897" s="52">
        <v>24</v>
      </c>
      <c r="B897" s="53" t="s">
        <v>55</v>
      </c>
      <c r="C897" s="54" t="s">
        <v>52</v>
      </c>
      <c r="D897" s="55" t="s">
        <v>1625</v>
      </c>
      <c r="E897" s="56" t="s">
        <v>1626</v>
      </c>
      <c r="F897" s="43">
        <v>41.067</v>
      </c>
      <c r="G897" s="57"/>
      <c r="H897" s="57"/>
      <c r="I897" s="58"/>
      <c r="J897" s="59">
        <f t="shared" si="271"/>
        <v>742.8502282779862</v>
      </c>
      <c r="K897" s="60">
        <v>0.9336178972540682</v>
      </c>
      <c r="L897" s="75">
        <v>1.0453575375673738</v>
      </c>
      <c r="M897" s="63">
        <f t="shared" si="272"/>
        <v>29127.5</v>
      </c>
      <c r="N897" s="63">
        <f t="shared" si="273"/>
        <v>26418.6</v>
      </c>
      <c r="O897" s="62"/>
      <c r="P897" s="76"/>
      <c r="Q897" s="77"/>
      <c r="R897" s="76"/>
      <c r="S897" s="77"/>
      <c r="T897" s="64"/>
      <c r="U897" s="45">
        <f t="shared" si="274"/>
        <v>26418.6</v>
      </c>
      <c r="V897" s="65"/>
    </row>
    <row r="898" spans="1:22" ht="12.75" hidden="1">
      <c r="A898" s="52">
        <v>24</v>
      </c>
      <c r="B898" s="53" t="s">
        <v>58</v>
      </c>
      <c r="C898" s="54" t="s">
        <v>52</v>
      </c>
      <c r="D898" s="55" t="s">
        <v>1627</v>
      </c>
      <c r="E898" s="56" t="s">
        <v>1628</v>
      </c>
      <c r="F898" s="43">
        <v>69.198</v>
      </c>
      <c r="G898" s="57"/>
      <c r="H898" s="57"/>
      <c r="I898" s="58"/>
      <c r="J898" s="59">
        <f t="shared" si="271"/>
        <v>742.8502282779862</v>
      </c>
      <c r="K898" s="60">
        <v>0.9336178972540682</v>
      </c>
      <c r="L898" s="75">
        <v>0.9994921058780978</v>
      </c>
      <c r="M898" s="63">
        <f t="shared" si="272"/>
        <v>47979.3</v>
      </c>
      <c r="N898" s="63">
        <f t="shared" si="273"/>
        <v>43517.2</v>
      </c>
      <c r="O898" s="62"/>
      <c r="P898" s="76"/>
      <c r="Q898" s="77"/>
      <c r="R898" s="76"/>
      <c r="S898" s="77"/>
      <c r="T898" s="64"/>
      <c r="U898" s="45">
        <f t="shared" si="274"/>
        <v>43517.2</v>
      </c>
      <c r="V898" s="65"/>
    </row>
    <row r="899" spans="1:22" ht="12.75" hidden="1">
      <c r="A899" s="52">
        <v>24</v>
      </c>
      <c r="B899" s="53" t="s">
        <v>61</v>
      </c>
      <c r="C899" s="54" t="s">
        <v>52</v>
      </c>
      <c r="D899" s="55" t="s">
        <v>1629</v>
      </c>
      <c r="E899" s="56" t="s">
        <v>1630</v>
      </c>
      <c r="F899" s="43">
        <v>65.912</v>
      </c>
      <c r="G899" s="57"/>
      <c r="H899" s="57"/>
      <c r="I899" s="58"/>
      <c r="J899" s="59">
        <f t="shared" si="271"/>
        <v>742.8502282779862</v>
      </c>
      <c r="K899" s="60">
        <v>0.9336178972540682</v>
      </c>
      <c r="L899" s="75">
        <v>1.0022643889263765</v>
      </c>
      <c r="M899" s="63">
        <f t="shared" si="272"/>
        <v>45764.2</v>
      </c>
      <c r="N899" s="63">
        <f t="shared" si="273"/>
        <v>41508.1</v>
      </c>
      <c r="O899" s="62"/>
      <c r="P899" s="76"/>
      <c r="Q899" s="77"/>
      <c r="R899" s="76"/>
      <c r="S899" s="77"/>
      <c r="T899" s="64"/>
      <c r="U899" s="45">
        <f t="shared" si="274"/>
        <v>41508.1</v>
      </c>
      <c r="V899" s="65"/>
    </row>
    <row r="900" spans="1:22" ht="12.75" hidden="1">
      <c r="A900" s="52">
        <v>24</v>
      </c>
      <c r="B900" s="53" t="s">
        <v>64</v>
      </c>
      <c r="C900" s="54" t="s">
        <v>52</v>
      </c>
      <c r="D900" s="55" t="s">
        <v>1631</v>
      </c>
      <c r="E900" s="56" t="s">
        <v>1632</v>
      </c>
      <c r="F900" s="43">
        <v>24.044</v>
      </c>
      <c r="G900" s="57"/>
      <c r="H900" s="57"/>
      <c r="I900" s="58"/>
      <c r="J900" s="59">
        <f t="shared" si="271"/>
        <v>742.8502282779862</v>
      </c>
      <c r="K900" s="60">
        <v>0.9336178972540682</v>
      </c>
      <c r="L900" s="75">
        <v>0.9393544830722305</v>
      </c>
      <c r="M900" s="63">
        <f t="shared" si="272"/>
        <v>16169.8</v>
      </c>
      <c r="N900" s="63">
        <f t="shared" si="273"/>
        <v>14666</v>
      </c>
      <c r="O900" s="62">
        <v>2975.2</v>
      </c>
      <c r="P900" s="76"/>
      <c r="Q900" s="77"/>
      <c r="R900" s="76"/>
      <c r="S900" s="77"/>
      <c r="T900" s="64"/>
      <c r="U900" s="45">
        <f t="shared" si="274"/>
        <v>17641.2</v>
      </c>
      <c r="V900" s="65"/>
    </row>
    <row r="901" spans="1:22" ht="12.75" hidden="1">
      <c r="A901" s="52">
        <v>24</v>
      </c>
      <c r="B901" s="53">
        <v>10</v>
      </c>
      <c r="C901" s="54" t="s">
        <v>52</v>
      </c>
      <c r="D901" s="55" t="s">
        <v>1633</v>
      </c>
      <c r="E901" s="56" t="s">
        <v>1634</v>
      </c>
      <c r="F901" s="43">
        <v>27.196</v>
      </c>
      <c r="G901" s="57"/>
      <c r="H901" s="57"/>
      <c r="I901" s="58"/>
      <c r="J901" s="59">
        <f t="shared" si="271"/>
        <v>742.8502282779862</v>
      </c>
      <c r="K901" s="60">
        <v>0.9336178972540682</v>
      </c>
      <c r="L901" s="75">
        <v>1.0303517261099369</v>
      </c>
      <c r="M901" s="63">
        <f t="shared" si="272"/>
        <v>19147.7</v>
      </c>
      <c r="N901" s="63">
        <f t="shared" si="273"/>
        <v>17367</v>
      </c>
      <c r="O901" s="62"/>
      <c r="P901" s="76"/>
      <c r="Q901" s="77"/>
      <c r="R901" s="76"/>
      <c r="S901" s="77"/>
      <c r="T901" s="64"/>
      <c r="U901" s="45">
        <f t="shared" si="274"/>
        <v>17367</v>
      </c>
      <c r="V901" s="65"/>
    </row>
    <row r="902" spans="1:22" ht="12.75" hidden="1">
      <c r="A902" s="52">
        <v>24</v>
      </c>
      <c r="B902" s="53">
        <v>11</v>
      </c>
      <c r="C902" s="54" t="s">
        <v>52</v>
      </c>
      <c r="D902" s="55" t="s">
        <v>1635</v>
      </c>
      <c r="E902" s="56" t="s">
        <v>1636</v>
      </c>
      <c r="F902" s="43">
        <v>85.837</v>
      </c>
      <c r="G902" s="57"/>
      <c r="H902" s="57"/>
      <c r="I902" s="58"/>
      <c r="J902" s="59">
        <f t="shared" si="271"/>
        <v>742.8502282779862</v>
      </c>
      <c r="K902" s="60">
        <v>0.9336178972540682</v>
      </c>
      <c r="L902" s="75">
        <v>0.9334464196014982</v>
      </c>
      <c r="M902" s="63">
        <f t="shared" si="272"/>
        <v>57550.2</v>
      </c>
      <c r="N902" s="63">
        <f t="shared" si="273"/>
        <v>52198</v>
      </c>
      <c r="O902" s="62">
        <v>368.5</v>
      </c>
      <c r="P902" s="76"/>
      <c r="Q902" s="77"/>
      <c r="R902" s="76"/>
      <c r="S902" s="77"/>
      <c r="T902" s="64"/>
      <c r="U902" s="45">
        <f t="shared" si="274"/>
        <v>52566.5</v>
      </c>
      <c r="V902" s="65"/>
    </row>
    <row r="903" spans="1:22" ht="12.75" hidden="1">
      <c r="A903" s="52">
        <v>24</v>
      </c>
      <c r="B903" s="53">
        <v>12</v>
      </c>
      <c r="C903" s="54" t="s">
        <v>52</v>
      </c>
      <c r="D903" s="55" t="s">
        <v>1637</v>
      </c>
      <c r="E903" s="56" t="s">
        <v>1638</v>
      </c>
      <c r="F903" s="43">
        <v>41.557</v>
      </c>
      <c r="G903" s="57"/>
      <c r="H903" s="57"/>
      <c r="I903" s="58"/>
      <c r="J903" s="59">
        <f t="shared" si="271"/>
        <v>742.8502282779862</v>
      </c>
      <c r="K903" s="60">
        <v>0.9336178972540682</v>
      </c>
      <c r="L903" s="75">
        <v>1.0190798782794013</v>
      </c>
      <c r="M903" s="63">
        <f t="shared" si="272"/>
        <v>29096.3</v>
      </c>
      <c r="N903" s="63">
        <f t="shared" si="273"/>
        <v>26390.3</v>
      </c>
      <c r="O903" s="62"/>
      <c r="P903" s="76"/>
      <c r="Q903" s="77"/>
      <c r="R903" s="76"/>
      <c r="S903" s="77"/>
      <c r="T903" s="64"/>
      <c r="U903" s="45">
        <f t="shared" si="274"/>
        <v>26390.3</v>
      </c>
      <c r="V903" s="65"/>
    </row>
    <row r="904" spans="1:22" s="154" customFormat="1" ht="26.25" hidden="1">
      <c r="A904" s="38">
        <v>24</v>
      </c>
      <c r="B904" s="39" t="s">
        <v>26</v>
      </c>
      <c r="C904" s="40" t="s">
        <v>111</v>
      </c>
      <c r="D904" s="148"/>
      <c r="E904" s="79" t="s">
        <v>112</v>
      </c>
      <c r="F904" s="43">
        <f>SUM(F905:F914)</f>
        <v>82.43400000000001</v>
      </c>
      <c r="G904" s="149">
        <f>SUM(G905:G914)</f>
        <v>0</v>
      </c>
      <c r="H904" s="149">
        <f>SUM(H905:H914)</f>
        <v>0</v>
      </c>
      <c r="I904" s="150"/>
      <c r="J904" s="151"/>
      <c r="K904" s="150"/>
      <c r="L904" s="152">
        <v>0</v>
      </c>
      <c r="M904" s="85">
        <f aca="true" t="shared" si="275" ref="M904:U904">SUM(M905:M914)</f>
        <v>56838.9</v>
      </c>
      <c r="N904" s="85">
        <f t="shared" si="275"/>
        <v>51552.9</v>
      </c>
      <c r="O904" s="85">
        <f t="shared" si="275"/>
        <v>57.3</v>
      </c>
      <c r="P904" s="85">
        <f t="shared" si="275"/>
        <v>0</v>
      </c>
      <c r="Q904" s="85">
        <f t="shared" si="275"/>
        <v>0</v>
      </c>
      <c r="R904" s="85">
        <f t="shared" si="275"/>
        <v>0</v>
      </c>
      <c r="S904" s="85">
        <f t="shared" si="275"/>
        <v>0</v>
      </c>
      <c r="T904" s="85">
        <f t="shared" si="275"/>
        <v>0</v>
      </c>
      <c r="U904" s="85">
        <f t="shared" si="275"/>
        <v>51610.2</v>
      </c>
      <c r="V904" s="153"/>
    </row>
    <row r="905" spans="1:22" s="202" customFormat="1" ht="26.25" hidden="1">
      <c r="A905" s="145">
        <v>24</v>
      </c>
      <c r="B905" s="87">
        <v>13</v>
      </c>
      <c r="C905" s="88" t="s">
        <v>113</v>
      </c>
      <c r="D905" s="169" t="s">
        <v>1639</v>
      </c>
      <c r="E905" s="56" t="s">
        <v>1640</v>
      </c>
      <c r="F905" s="43">
        <v>4.917</v>
      </c>
      <c r="G905" s="149"/>
      <c r="H905" s="149"/>
      <c r="I905" s="150"/>
      <c r="J905" s="123">
        <f aca="true" t="shared" si="276" ref="J905:J914">+($F$7-$O$952-$Q$952-$P$952-$R$952-$S$952)/($F$952-$G$952*1-$H$952*0.5)*0.646*1.0268514</f>
        <v>742.8502282779862</v>
      </c>
      <c r="K905" s="122">
        <v>0.9336178972540682</v>
      </c>
      <c r="L905" s="75">
        <v>1.0303517261099369</v>
      </c>
      <c r="M905" s="63">
        <f aca="true" t="shared" si="277" ref="M905:M914">ROUND(J905*(F905-G905-H905*I905)*K905*(0.5+0.5*L905),1)</f>
        <v>3461.9</v>
      </c>
      <c r="N905" s="132">
        <f aca="true" t="shared" si="278" ref="N905:N914">ROUND(M905*0.907,1)</f>
        <v>3139.9</v>
      </c>
      <c r="O905" s="131"/>
      <c r="P905" s="131"/>
      <c r="Q905" s="132"/>
      <c r="R905" s="131"/>
      <c r="S905" s="132"/>
      <c r="T905" s="133"/>
      <c r="U905" s="134">
        <f aca="true" t="shared" si="279" ref="U905:U914">+N905+O905+T905+R905+S905+Q905</f>
        <v>3139.9</v>
      </c>
      <c r="V905" s="135"/>
    </row>
    <row r="906" spans="1:22" ht="25.5" hidden="1">
      <c r="A906" s="52">
        <v>24</v>
      </c>
      <c r="B906" s="53">
        <v>14</v>
      </c>
      <c r="C906" s="54" t="s">
        <v>113</v>
      </c>
      <c r="D906" s="169" t="s">
        <v>1641</v>
      </c>
      <c r="E906" s="56" t="s">
        <v>1642</v>
      </c>
      <c r="F906" s="43">
        <v>13.693</v>
      </c>
      <c r="G906" s="57"/>
      <c r="H906" s="57"/>
      <c r="I906" s="58"/>
      <c r="J906" s="59">
        <f t="shared" si="276"/>
        <v>742.8502282779862</v>
      </c>
      <c r="K906" s="60">
        <v>0.9336178972540682</v>
      </c>
      <c r="L906" s="75">
        <v>0.9334464196014982</v>
      </c>
      <c r="M906" s="63">
        <f t="shared" si="277"/>
        <v>9180.6</v>
      </c>
      <c r="N906" s="132">
        <f t="shared" si="278"/>
        <v>8326.8</v>
      </c>
      <c r="O906" s="62"/>
      <c r="P906" s="76"/>
      <c r="Q906" s="77"/>
      <c r="R906" s="76"/>
      <c r="S906" s="77"/>
      <c r="T906" s="64"/>
      <c r="U906" s="45">
        <f t="shared" si="279"/>
        <v>8326.8</v>
      </c>
      <c r="V906" s="65"/>
    </row>
    <row r="907" spans="1:22" ht="26.25" hidden="1">
      <c r="A907" s="145">
        <v>24</v>
      </c>
      <c r="B907" s="87">
        <v>15</v>
      </c>
      <c r="C907" s="88" t="s">
        <v>113</v>
      </c>
      <c r="D907" s="169" t="s">
        <v>1643</v>
      </c>
      <c r="E907" s="56" t="s">
        <v>1644</v>
      </c>
      <c r="F907" s="43">
        <v>6.185</v>
      </c>
      <c r="G907" s="57"/>
      <c r="H907" s="57"/>
      <c r="I907" s="58"/>
      <c r="J907" s="59">
        <f t="shared" si="276"/>
        <v>742.8502282779862</v>
      </c>
      <c r="K907" s="60">
        <v>0.9336178972540682</v>
      </c>
      <c r="L907" s="75">
        <v>0.9512473490315148</v>
      </c>
      <c r="M907" s="63">
        <f t="shared" si="277"/>
        <v>4185</v>
      </c>
      <c r="N907" s="132">
        <f t="shared" si="278"/>
        <v>3795.8</v>
      </c>
      <c r="O907" s="62"/>
      <c r="P907" s="76"/>
      <c r="Q907" s="77"/>
      <c r="R907" s="76"/>
      <c r="S907" s="77"/>
      <c r="T907" s="64"/>
      <c r="U907" s="45">
        <f t="shared" si="279"/>
        <v>3795.8</v>
      </c>
      <c r="V907" s="65"/>
    </row>
    <row r="908" spans="1:22" ht="26.25" hidden="1">
      <c r="A908" s="145">
        <v>24</v>
      </c>
      <c r="B908" s="87">
        <v>16</v>
      </c>
      <c r="C908" s="88" t="s">
        <v>113</v>
      </c>
      <c r="D908" s="169" t="s">
        <v>1645</v>
      </c>
      <c r="E908" s="56" t="s">
        <v>1646</v>
      </c>
      <c r="F908" s="43">
        <v>10.903</v>
      </c>
      <c r="G908" s="57"/>
      <c r="H908" s="57"/>
      <c r="I908" s="58"/>
      <c r="J908" s="59">
        <f t="shared" si="276"/>
        <v>742.8502282779862</v>
      </c>
      <c r="K908" s="60">
        <v>0.9336178972540682</v>
      </c>
      <c r="L908" s="75">
        <v>0.9512473490315148</v>
      </c>
      <c r="M908" s="63">
        <f t="shared" si="277"/>
        <v>7377.3</v>
      </c>
      <c r="N908" s="132">
        <f t="shared" si="278"/>
        <v>6691.2</v>
      </c>
      <c r="O908" s="62"/>
      <c r="P908" s="76"/>
      <c r="Q908" s="77"/>
      <c r="R908" s="76"/>
      <c r="S908" s="77"/>
      <c r="T908" s="64"/>
      <c r="U908" s="45">
        <f t="shared" si="279"/>
        <v>6691.2</v>
      </c>
      <c r="V908" s="65"/>
    </row>
    <row r="909" spans="1:22" ht="26.25" hidden="1">
      <c r="A909" s="145">
        <v>24</v>
      </c>
      <c r="B909" s="87">
        <v>17</v>
      </c>
      <c r="C909" s="88" t="s">
        <v>113</v>
      </c>
      <c r="D909" s="169" t="s">
        <v>1647</v>
      </c>
      <c r="E909" s="56" t="s">
        <v>1648</v>
      </c>
      <c r="F909" s="43">
        <v>7.155</v>
      </c>
      <c r="G909" s="57"/>
      <c r="H909" s="57"/>
      <c r="I909" s="58"/>
      <c r="J909" s="59">
        <f t="shared" si="276"/>
        <v>742.8502282779862</v>
      </c>
      <c r="K909" s="60">
        <v>0.9336178972540682</v>
      </c>
      <c r="L909" s="75">
        <v>1.0190798782794013</v>
      </c>
      <c r="M909" s="63">
        <f t="shared" si="277"/>
        <v>5009.6</v>
      </c>
      <c r="N909" s="132">
        <f t="shared" si="278"/>
        <v>4543.7</v>
      </c>
      <c r="O909" s="62"/>
      <c r="P909" s="76"/>
      <c r="Q909" s="77"/>
      <c r="R909" s="76"/>
      <c r="S909" s="77"/>
      <c r="T909" s="64"/>
      <c r="U909" s="45">
        <f t="shared" si="279"/>
        <v>4543.7</v>
      </c>
      <c r="V909" s="65"/>
    </row>
    <row r="910" spans="1:22" ht="26.25" hidden="1">
      <c r="A910" s="145">
        <v>24</v>
      </c>
      <c r="B910" s="87">
        <v>18</v>
      </c>
      <c r="C910" s="88" t="s">
        <v>113</v>
      </c>
      <c r="D910" s="169" t="s">
        <v>1649</v>
      </c>
      <c r="E910" s="56" t="s">
        <v>1650</v>
      </c>
      <c r="F910" s="43">
        <v>12.163</v>
      </c>
      <c r="G910" s="57"/>
      <c r="H910" s="57"/>
      <c r="I910" s="58"/>
      <c r="J910" s="59">
        <f t="shared" si="276"/>
        <v>742.8502282779862</v>
      </c>
      <c r="K910" s="60">
        <v>0.9336178972540682</v>
      </c>
      <c r="L910" s="75">
        <v>1.0022643889263765</v>
      </c>
      <c r="M910" s="63">
        <f t="shared" si="277"/>
        <v>8445.1</v>
      </c>
      <c r="N910" s="132">
        <f t="shared" si="278"/>
        <v>7659.7</v>
      </c>
      <c r="O910" s="62"/>
      <c r="P910" s="76"/>
      <c r="Q910" s="77"/>
      <c r="R910" s="76"/>
      <c r="S910" s="77"/>
      <c r="T910" s="64"/>
      <c r="U910" s="45">
        <f t="shared" si="279"/>
        <v>7659.7</v>
      </c>
      <c r="V910" s="65"/>
    </row>
    <row r="911" spans="1:22" ht="26.25" hidden="1">
      <c r="A911" s="145">
        <v>24</v>
      </c>
      <c r="B911" s="87">
        <v>19</v>
      </c>
      <c r="C911" s="88" t="s">
        <v>113</v>
      </c>
      <c r="D911" s="169" t="s">
        <v>1651</v>
      </c>
      <c r="E911" s="56" t="s">
        <v>1652</v>
      </c>
      <c r="F911" s="43">
        <v>7.1</v>
      </c>
      <c r="G911" s="57"/>
      <c r="H911" s="57"/>
      <c r="I911" s="58"/>
      <c r="J911" s="59">
        <f t="shared" si="276"/>
        <v>742.8502282779862</v>
      </c>
      <c r="K911" s="60">
        <v>0.9336178972540682</v>
      </c>
      <c r="L911" s="75">
        <v>1.0190798782794013</v>
      </c>
      <c r="M911" s="63">
        <f t="shared" si="277"/>
        <v>4971.1</v>
      </c>
      <c r="N911" s="132">
        <f t="shared" si="278"/>
        <v>4508.8</v>
      </c>
      <c r="O911" s="62"/>
      <c r="P911" s="76"/>
      <c r="Q911" s="77"/>
      <c r="R911" s="76"/>
      <c r="S911" s="77"/>
      <c r="T911" s="64"/>
      <c r="U911" s="45">
        <f t="shared" si="279"/>
        <v>4508.8</v>
      </c>
      <c r="V911" s="65"/>
    </row>
    <row r="912" spans="1:22" ht="25.5" hidden="1">
      <c r="A912" s="52">
        <v>24</v>
      </c>
      <c r="B912" s="53">
        <v>20</v>
      </c>
      <c r="C912" s="54" t="s">
        <v>113</v>
      </c>
      <c r="D912" s="169" t="s">
        <v>1653</v>
      </c>
      <c r="E912" s="56" t="s">
        <v>1654</v>
      </c>
      <c r="F912" s="43">
        <v>6.821</v>
      </c>
      <c r="G912" s="57"/>
      <c r="H912" s="57"/>
      <c r="I912" s="58"/>
      <c r="J912" s="59">
        <f t="shared" si="276"/>
        <v>742.8502282779862</v>
      </c>
      <c r="K912" s="60">
        <v>0.9336178972540682</v>
      </c>
      <c r="L912" s="75">
        <v>1.0190798782794013</v>
      </c>
      <c r="M912" s="63">
        <f t="shared" si="277"/>
        <v>4775.8</v>
      </c>
      <c r="N912" s="132">
        <f t="shared" si="278"/>
        <v>4331.7</v>
      </c>
      <c r="O912" s="62"/>
      <c r="P912" s="76"/>
      <c r="Q912" s="77"/>
      <c r="R912" s="76"/>
      <c r="S912" s="77"/>
      <c r="T912" s="64"/>
      <c r="U912" s="45">
        <f t="shared" si="279"/>
        <v>4331.7</v>
      </c>
      <c r="V912" s="65"/>
    </row>
    <row r="913" spans="1:22" ht="25.5" hidden="1">
      <c r="A913" s="52">
        <v>24</v>
      </c>
      <c r="B913" s="53">
        <v>21</v>
      </c>
      <c r="C913" s="54" t="s">
        <v>113</v>
      </c>
      <c r="D913" s="169" t="s">
        <v>1655</v>
      </c>
      <c r="E913" s="56" t="s">
        <v>1656</v>
      </c>
      <c r="F913" s="43">
        <v>11.27</v>
      </c>
      <c r="G913" s="57"/>
      <c r="H913" s="57"/>
      <c r="I913" s="58"/>
      <c r="J913" s="59">
        <f t="shared" si="276"/>
        <v>742.8502282779862</v>
      </c>
      <c r="K913" s="60">
        <v>0.9336178972540682</v>
      </c>
      <c r="L913" s="75">
        <v>1.0303517261099369</v>
      </c>
      <c r="M913" s="63">
        <f t="shared" si="277"/>
        <v>7934.8</v>
      </c>
      <c r="N913" s="132">
        <f t="shared" si="278"/>
        <v>7196.9</v>
      </c>
      <c r="O913" s="62"/>
      <c r="P913" s="76"/>
      <c r="Q913" s="77"/>
      <c r="R913" s="76"/>
      <c r="S913" s="77"/>
      <c r="T913" s="64"/>
      <c r="U913" s="45">
        <f t="shared" si="279"/>
        <v>7196.9</v>
      </c>
      <c r="V913" s="65"/>
    </row>
    <row r="914" spans="1:22" ht="25.5" hidden="1">
      <c r="A914" s="52">
        <v>24</v>
      </c>
      <c r="B914" s="53">
        <v>22</v>
      </c>
      <c r="C914" s="54" t="s">
        <v>113</v>
      </c>
      <c r="D914" s="169" t="s">
        <v>1657</v>
      </c>
      <c r="E914" s="56" t="s">
        <v>1658</v>
      </c>
      <c r="F914" s="43">
        <v>2.227</v>
      </c>
      <c r="G914" s="57"/>
      <c r="H914" s="57"/>
      <c r="I914" s="58"/>
      <c r="J914" s="59">
        <f t="shared" si="276"/>
        <v>742.8502282779862</v>
      </c>
      <c r="K914" s="60">
        <v>0.9336178972540682</v>
      </c>
      <c r="L914" s="75">
        <v>0.9393544830722305</v>
      </c>
      <c r="M914" s="63">
        <f t="shared" si="277"/>
        <v>1497.7</v>
      </c>
      <c r="N914" s="132">
        <f t="shared" si="278"/>
        <v>1358.4</v>
      </c>
      <c r="O914" s="62">
        <v>57.3</v>
      </c>
      <c r="P914" s="76"/>
      <c r="Q914" s="77"/>
      <c r="R914" s="76"/>
      <c r="S914" s="77"/>
      <c r="T914" s="64"/>
      <c r="U914" s="45">
        <f t="shared" si="279"/>
        <v>1415.7</v>
      </c>
      <c r="V914" s="65"/>
    </row>
    <row r="915" spans="1:22" ht="25.5">
      <c r="A915" s="170">
        <v>25</v>
      </c>
      <c r="B915" s="167" t="s">
        <v>26</v>
      </c>
      <c r="C915" s="40" t="s">
        <v>27</v>
      </c>
      <c r="D915" s="55"/>
      <c r="E915" s="168" t="s">
        <v>1659</v>
      </c>
      <c r="F915" s="43">
        <f>F916+F917+F922+F945</f>
        <v>1044.975</v>
      </c>
      <c r="G915" s="44">
        <f>+G916+G917+G922+G945</f>
        <v>0</v>
      </c>
      <c r="H915" s="44">
        <f>+H916+H917+H922+H945</f>
        <v>0</v>
      </c>
      <c r="I915" s="45"/>
      <c r="J915" s="46"/>
      <c r="K915" s="47"/>
      <c r="L915" s="48">
        <v>1.0495904482347667</v>
      </c>
      <c r="M915" s="49">
        <f aca="true" t="shared" si="280" ref="M915:U915">+M916+M917+M922+M945</f>
        <v>1188624.5999999999</v>
      </c>
      <c r="N915" s="49">
        <f t="shared" si="280"/>
        <v>1188624.6</v>
      </c>
      <c r="O915" s="49">
        <f t="shared" si="280"/>
        <v>0</v>
      </c>
      <c r="P915" s="49">
        <f t="shared" si="280"/>
        <v>1640</v>
      </c>
      <c r="Q915" s="49">
        <f t="shared" si="280"/>
        <v>15911.1</v>
      </c>
      <c r="R915" s="49">
        <f t="shared" si="280"/>
        <v>41839.7</v>
      </c>
      <c r="S915" s="49">
        <f t="shared" si="280"/>
        <v>438.6</v>
      </c>
      <c r="T915" s="49">
        <f t="shared" si="280"/>
        <v>0</v>
      </c>
      <c r="U915" s="49">
        <f t="shared" si="280"/>
        <v>1248454</v>
      </c>
      <c r="V915" s="65"/>
    </row>
    <row r="916" spans="1:22" ht="12.75">
      <c r="A916" s="52">
        <v>25</v>
      </c>
      <c r="B916" s="53" t="s">
        <v>26</v>
      </c>
      <c r="C916" s="54" t="s">
        <v>29</v>
      </c>
      <c r="D916" s="55" t="s">
        <v>1660</v>
      </c>
      <c r="E916" s="56" t="s">
        <v>31</v>
      </c>
      <c r="F916" s="43">
        <v>0</v>
      </c>
      <c r="G916" s="128"/>
      <c r="H916" s="128"/>
      <c r="I916" s="58"/>
      <c r="J916" s="59">
        <f>+($F$7-$O$952-$Q$952-$P$952-R$952-$S$952)/$F$952*0.354*0.951</f>
        <v>376.76602120660414</v>
      </c>
      <c r="K916" s="60">
        <v>0</v>
      </c>
      <c r="L916" s="48">
        <v>1.0495904482347667</v>
      </c>
      <c r="M916" s="49">
        <f>ROUND(J916*(F917+F922+F945)*(0.5+0.5*L916),1)</f>
        <v>403473.2</v>
      </c>
      <c r="N916" s="49">
        <f>M916+ROUND(SUM(M918:M921)*0.117+SUM(M923:M944)*0.093+SUM(M946:M950)*0.093,1)</f>
        <v>484764.5</v>
      </c>
      <c r="O916" s="62"/>
      <c r="P916" s="62">
        <v>1640</v>
      </c>
      <c r="Q916" s="63">
        <v>15911.1</v>
      </c>
      <c r="R916" s="62">
        <v>41839.7</v>
      </c>
      <c r="S916" s="63">
        <v>438.6</v>
      </c>
      <c r="T916" s="64"/>
      <c r="U916" s="45">
        <f>N916+O916+P916+Q916+R916+S916+T916</f>
        <v>544593.8999999999</v>
      </c>
      <c r="V916" s="65"/>
    </row>
    <row r="917" spans="1:22" ht="25.5">
      <c r="A917" s="38">
        <v>25</v>
      </c>
      <c r="B917" s="39" t="s">
        <v>26</v>
      </c>
      <c r="C917" s="40" t="s">
        <v>33</v>
      </c>
      <c r="D917" s="55"/>
      <c r="E917" s="79" t="s">
        <v>34</v>
      </c>
      <c r="F917" s="43">
        <f>SUM(F918:F921)</f>
        <v>436.698</v>
      </c>
      <c r="G917" s="67">
        <f>SUM(G918:G921)</f>
        <v>0</v>
      </c>
      <c r="H917" s="68">
        <f>SUM(H918:H921)</f>
        <v>0</v>
      </c>
      <c r="I917" s="69"/>
      <c r="J917" s="59"/>
      <c r="K917" s="70"/>
      <c r="L917" s="71">
        <v>0.9949020629922961</v>
      </c>
      <c r="M917" s="72">
        <f aca="true" t="shared" si="281" ref="M917:U917">SUM(M918:M921)</f>
        <v>344675.60000000003</v>
      </c>
      <c r="N917" s="72">
        <f t="shared" si="281"/>
        <v>304348.60000000003</v>
      </c>
      <c r="O917" s="72">
        <f t="shared" si="281"/>
        <v>0</v>
      </c>
      <c r="P917" s="72">
        <f t="shared" si="281"/>
        <v>0</v>
      </c>
      <c r="Q917" s="72">
        <f t="shared" si="281"/>
        <v>0</v>
      </c>
      <c r="R917" s="72">
        <f t="shared" si="281"/>
        <v>0</v>
      </c>
      <c r="S917" s="72">
        <f t="shared" si="281"/>
        <v>0</v>
      </c>
      <c r="T917" s="72">
        <f t="shared" si="281"/>
        <v>-9558.2</v>
      </c>
      <c r="U917" s="72">
        <f t="shared" si="281"/>
        <v>294790.4</v>
      </c>
      <c r="V917" s="73"/>
    </row>
    <row r="918" spans="1:22" ht="12.75">
      <c r="A918" s="52">
        <v>25</v>
      </c>
      <c r="B918" s="53" t="s">
        <v>35</v>
      </c>
      <c r="C918" s="54" t="s">
        <v>36</v>
      </c>
      <c r="D918" s="55" t="s">
        <v>1661</v>
      </c>
      <c r="E918" s="74" t="s">
        <v>1662</v>
      </c>
      <c r="F918" s="43">
        <v>294.095</v>
      </c>
      <c r="G918" s="162"/>
      <c r="H918" s="162"/>
      <c r="I918" s="58"/>
      <c r="J918" s="59">
        <f>+($F$7-$O$952-$Q$952-$P$952-$R$952-$S$952)/($F$952-$G$952*1-$H$952*0.5)*0.646*1.0268514</f>
        <v>742.8502282779862</v>
      </c>
      <c r="K918" s="60">
        <v>1.065228053001168</v>
      </c>
      <c r="L918" s="75">
        <v>0.9876192628159913</v>
      </c>
      <c r="M918" s="63">
        <f>ROUND(J918*(F918-G918-H918*I918)*K918*(0.5+0.5*L918),1)</f>
        <v>231278.2</v>
      </c>
      <c r="N918" s="63">
        <f>ROUND(M918*0.883,1)</f>
        <v>204218.7</v>
      </c>
      <c r="O918" s="62"/>
      <c r="P918" s="76"/>
      <c r="Q918" s="77"/>
      <c r="R918" s="76"/>
      <c r="S918" s="77"/>
      <c r="T918" s="64"/>
      <c r="U918" s="45">
        <f>+N918+O918+T918+R918+S918+Q918</f>
        <v>204218.7</v>
      </c>
      <c r="V918" s="65"/>
    </row>
    <row r="919" spans="1:22" ht="12.75">
      <c r="A919" s="52">
        <v>25</v>
      </c>
      <c r="B919" s="53" t="s">
        <v>32</v>
      </c>
      <c r="C919" s="54" t="s">
        <v>36</v>
      </c>
      <c r="D919" s="55" t="s">
        <v>1663</v>
      </c>
      <c r="E919" s="78" t="s">
        <v>1664</v>
      </c>
      <c r="F919" s="43">
        <v>71.814</v>
      </c>
      <c r="G919" s="57"/>
      <c r="H919" s="57"/>
      <c r="I919" s="58"/>
      <c r="J919" s="59">
        <f>+($F$7-$O$952-$Q$952-$P$952-$R$952-$S$952)/($F$952-$G$952*1-$H$952*0.5)*0.646*1.0268514</f>
        <v>742.8502282779862</v>
      </c>
      <c r="K919" s="60">
        <v>1.065228053001168</v>
      </c>
      <c r="L919" s="75">
        <v>0.9889058785968233</v>
      </c>
      <c r="M919" s="63">
        <f>ROUND(J919*(F919-G919-H919*I919)*K919*(0.5+0.5*L919),1)</f>
        <v>56511.5</v>
      </c>
      <c r="N919" s="63">
        <f>ROUND(M919*0.883,1)</f>
        <v>49899.7</v>
      </c>
      <c r="O919" s="62"/>
      <c r="P919" s="76"/>
      <c r="Q919" s="77"/>
      <c r="R919" s="76"/>
      <c r="S919" s="77"/>
      <c r="T919" s="64"/>
      <c r="U919" s="45">
        <f>+N919+O919+T919+R919+S919+Q919</f>
        <v>49899.7</v>
      </c>
      <c r="V919" s="65"/>
    </row>
    <row r="920" spans="1:22" ht="12.75">
      <c r="A920" s="52">
        <v>25</v>
      </c>
      <c r="B920" s="53" t="s">
        <v>127</v>
      </c>
      <c r="C920" s="54" t="s">
        <v>36</v>
      </c>
      <c r="D920" s="55" t="s">
        <v>1665</v>
      </c>
      <c r="E920" s="78" t="s">
        <v>1666</v>
      </c>
      <c r="F920" s="43">
        <v>57.137</v>
      </c>
      <c r="G920" s="57"/>
      <c r="H920" s="57"/>
      <c r="I920" s="58"/>
      <c r="J920" s="59">
        <f>+($F$7-$O$952-$Q$952-$P$952-$R$952-$S$952)/($F$952-$G$952*1-$H$952*0.5)*0.646*1.0268514</f>
        <v>742.8502282779862</v>
      </c>
      <c r="K920" s="60">
        <v>1.065228053001168</v>
      </c>
      <c r="L920" s="75">
        <v>1.0375300492592434</v>
      </c>
      <c r="M920" s="63">
        <f>ROUND(J920*(F920-G920-H920*I920)*K920*(0.5+0.5*L920),1)</f>
        <v>46061.2</v>
      </c>
      <c r="N920" s="63">
        <f>ROUND(M920*0.883,1)</f>
        <v>40672</v>
      </c>
      <c r="O920" s="62"/>
      <c r="P920" s="76"/>
      <c r="Q920" s="77"/>
      <c r="R920" s="76"/>
      <c r="S920" s="77"/>
      <c r="T920" s="64"/>
      <c r="U920" s="45">
        <f>+N920+O920+T920+R920+S920+Q920</f>
        <v>40672</v>
      </c>
      <c r="V920" s="65"/>
    </row>
    <row r="921" spans="1:22" ht="12.75">
      <c r="A921" s="52">
        <v>25</v>
      </c>
      <c r="B921" s="53" t="s">
        <v>118</v>
      </c>
      <c r="C921" s="54" t="s">
        <v>36</v>
      </c>
      <c r="D921" s="55" t="s">
        <v>1667</v>
      </c>
      <c r="E921" s="78" t="s">
        <v>1668</v>
      </c>
      <c r="F921" s="43">
        <v>13.652</v>
      </c>
      <c r="G921" s="57"/>
      <c r="H921" s="57"/>
      <c r="I921" s="58"/>
      <c r="J921" s="59">
        <f>+($F$7-$O$952-$Q$952-$P$952-$R$952-$S$952)/($F$952-$G$952*1-$H$952*0.5)*0.646*1.0268514</f>
        <v>742.8502282779862</v>
      </c>
      <c r="K921" s="60">
        <v>1.065228053001168</v>
      </c>
      <c r="L921" s="75">
        <v>1.0040443094355322</v>
      </c>
      <c r="M921" s="63">
        <f>ROUND(J921*(F921-G921-H921*I921)*K921*(0.5+0.5*L921),1)</f>
        <v>10824.7</v>
      </c>
      <c r="N921" s="63">
        <f>ROUND(M921*0.883,1)</f>
        <v>9558.2</v>
      </c>
      <c r="O921" s="62"/>
      <c r="P921" s="76"/>
      <c r="Q921" s="77"/>
      <c r="R921" s="76"/>
      <c r="S921" s="77"/>
      <c r="T921" s="64">
        <f>-ROUND(N921,1)</f>
        <v>-9558.2</v>
      </c>
      <c r="U921" s="45">
        <f>+N921+O921+T921+R921+S921+Q921</f>
        <v>0</v>
      </c>
      <c r="V921" s="65"/>
    </row>
    <row r="922" spans="1:22" ht="33" customHeight="1">
      <c r="A922" s="38">
        <v>25</v>
      </c>
      <c r="B922" s="39" t="s">
        <v>26</v>
      </c>
      <c r="C922" s="40" t="s">
        <v>49</v>
      </c>
      <c r="D922" s="55"/>
      <c r="E922" s="79" t="s">
        <v>50</v>
      </c>
      <c r="F922" s="43">
        <f>SUM(F923:F944)</f>
        <v>583.805</v>
      </c>
      <c r="G922" s="67">
        <f>SUM(G923:G944)</f>
        <v>0</v>
      </c>
      <c r="H922" s="68">
        <f>SUM(H923:H944)</f>
        <v>0</v>
      </c>
      <c r="I922" s="69"/>
      <c r="J922" s="80"/>
      <c r="K922" s="70"/>
      <c r="L922" s="71">
        <v>1.0882921091956383</v>
      </c>
      <c r="M922" s="72">
        <f aca="true" t="shared" si="282" ref="M922:U922">SUM(M923:M944)</f>
        <v>422670.1</v>
      </c>
      <c r="N922" s="72">
        <f t="shared" si="282"/>
        <v>383361.7</v>
      </c>
      <c r="O922" s="72">
        <f t="shared" si="282"/>
        <v>0</v>
      </c>
      <c r="P922" s="72">
        <f t="shared" si="282"/>
        <v>0</v>
      </c>
      <c r="Q922" s="72">
        <f t="shared" si="282"/>
        <v>0</v>
      </c>
      <c r="R922" s="72">
        <f t="shared" si="282"/>
        <v>0</v>
      </c>
      <c r="S922" s="72">
        <f t="shared" si="282"/>
        <v>0</v>
      </c>
      <c r="T922" s="72">
        <f t="shared" si="282"/>
        <v>9558.2</v>
      </c>
      <c r="U922" s="72">
        <f t="shared" si="282"/>
        <v>392919.9</v>
      </c>
      <c r="V922" s="73"/>
    </row>
    <row r="923" spans="1:22" ht="12.75">
      <c r="A923" s="52">
        <v>25</v>
      </c>
      <c r="B923" s="53" t="s">
        <v>51</v>
      </c>
      <c r="C923" s="54" t="s">
        <v>52</v>
      </c>
      <c r="D923" s="55" t="s">
        <v>1669</v>
      </c>
      <c r="E923" s="56" t="s">
        <v>1670</v>
      </c>
      <c r="F923" s="43">
        <v>45.166</v>
      </c>
      <c r="G923" s="128"/>
      <c r="H923" s="57"/>
      <c r="I923" s="58"/>
      <c r="J923" s="59">
        <f aca="true" t="shared" si="283" ref="J923:J944">+($F$7-$O$952-$Q$952-$P$952-$R$952-$S$952)/($F$952-$G$952*1-$H$952*0.5)*0.646*1.0268514</f>
        <v>742.8502282779862</v>
      </c>
      <c r="K923" s="60">
        <v>0.9336178972540682</v>
      </c>
      <c r="L923" s="75">
        <v>1.083738696239688</v>
      </c>
      <c r="M923" s="63">
        <f aca="true" t="shared" si="284" ref="M923:M944">ROUND(J923*(F923-G923-H923*I923)*K923*(0.5+0.5*L923),1)</f>
        <v>32635.9</v>
      </c>
      <c r="N923" s="63">
        <f aca="true" t="shared" si="285" ref="N923:N944">ROUND(M923*0.907,1)</f>
        <v>29600.8</v>
      </c>
      <c r="O923" s="62"/>
      <c r="P923" s="76"/>
      <c r="Q923" s="77"/>
      <c r="R923" s="76"/>
      <c r="S923" s="77"/>
      <c r="T923" s="64"/>
      <c r="U923" s="45">
        <f aca="true" t="shared" si="286" ref="U923:U944">+N923+O923+T923+R923+S923+Q923</f>
        <v>29600.8</v>
      </c>
      <c r="V923" s="65"/>
    </row>
    <row r="924" spans="1:22" ht="12.75">
      <c r="A924" s="52">
        <v>25</v>
      </c>
      <c r="B924" s="53" t="s">
        <v>55</v>
      </c>
      <c r="C924" s="54" t="s">
        <v>52</v>
      </c>
      <c r="D924" s="55" t="s">
        <v>1671</v>
      </c>
      <c r="E924" s="56" t="s">
        <v>1672</v>
      </c>
      <c r="F924" s="43">
        <v>33.414</v>
      </c>
      <c r="G924" s="57"/>
      <c r="H924" s="57"/>
      <c r="I924" s="58"/>
      <c r="J924" s="59">
        <f t="shared" si="283"/>
        <v>742.8502282779862</v>
      </c>
      <c r="K924" s="60">
        <v>0.9336178972540682</v>
      </c>
      <c r="L924" s="75">
        <v>1.0841068325585248</v>
      </c>
      <c r="M924" s="63">
        <f t="shared" si="284"/>
        <v>24148.4</v>
      </c>
      <c r="N924" s="63">
        <f t="shared" si="285"/>
        <v>21902.6</v>
      </c>
      <c r="O924" s="62"/>
      <c r="P924" s="76"/>
      <c r="Q924" s="77"/>
      <c r="R924" s="76"/>
      <c r="S924" s="77"/>
      <c r="T924" s="64"/>
      <c r="U924" s="45">
        <f t="shared" si="286"/>
        <v>21902.6</v>
      </c>
      <c r="V924" s="65"/>
    </row>
    <row r="925" spans="1:22" ht="12.75">
      <c r="A925" s="52">
        <v>25</v>
      </c>
      <c r="B925" s="53" t="s">
        <v>58</v>
      </c>
      <c r="C925" s="54" t="s">
        <v>52</v>
      </c>
      <c r="D925" s="55" t="s">
        <v>1673</v>
      </c>
      <c r="E925" s="56" t="s">
        <v>1674</v>
      </c>
      <c r="F925" s="43">
        <v>31.875</v>
      </c>
      <c r="G925" s="57"/>
      <c r="H925" s="57"/>
      <c r="I925" s="58"/>
      <c r="J925" s="59">
        <f t="shared" si="283"/>
        <v>742.8502282779862</v>
      </c>
      <c r="K925" s="60">
        <v>0.9336178972540682</v>
      </c>
      <c r="L925" s="75">
        <v>1.12802174404879</v>
      </c>
      <c r="M925" s="63">
        <f t="shared" si="284"/>
        <v>23521.6</v>
      </c>
      <c r="N925" s="63">
        <f t="shared" si="285"/>
        <v>21334.1</v>
      </c>
      <c r="O925" s="62"/>
      <c r="P925" s="76"/>
      <c r="Q925" s="77"/>
      <c r="R925" s="76"/>
      <c r="S925" s="77"/>
      <c r="T925" s="64"/>
      <c r="U925" s="45">
        <f t="shared" si="286"/>
        <v>21334.1</v>
      </c>
      <c r="V925" s="65"/>
    </row>
    <row r="926" spans="1:22" ht="12.75">
      <c r="A926" s="52">
        <v>25</v>
      </c>
      <c r="B926" s="53" t="s">
        <v>61</v>
      </c>
      <c r="C926" s="54" t="s">
        <v>52</v>
      </c>
      <c r="D926" s="55" t="s">
        <v>1675</v>
      </c>
      <c r="E926" s="56" t="s">
        <v>1676</v>
      </c>
      <c r="F926" s="43">
        <v>16.332</v>
      </c>
      <c r="G926" s="57"/>
      <c r="H926" s="57"/>
      <c r="I926" s="58"/>
      <c r="J926" s="59">
        <f t="shared" si="283"/>
        <v>742.8502282779862</v>
      </c>
      <c r="K926" s="60">
        <v>0.9336178972540682</v>
      </c>
      <c r="L926" s="75">
        <v>1.0680503038211675</v>
      </c>
      <c r="M926" s="63">
        <f t="shared" si="284"/>
        <v>11712.3</v>
      </c>
      <c r="N926" s="63">
        <f t="shared" si="285"/>
        <v>10623.1</v>
      </c>
      <c r="O926" s="62"/>
      <c r="P926" s="76"/>
      <c r="Q926" s="77"/>
      <c r="R926" s="76"/>
      <c r="S926" s="77"/>
      <c r="T926" s="64"/>
      <c r="U926" s="45">
        <f t="shared" si="286"/>
        <v>10623.1</v>
      </c>
      <c r="V926" s="65"/>
    </row>
    <row r="927" spans="1:22" ht="12.75">
      <c r="A927" s="52">
        <v>25</v>
      </c>
      <c r="B927" s="53" t="s">
        <v>64</v>
      </c>
      <c r="C927" s="54" t="s">
        <v>52</v>
      </c>
      <c r="D927" s="55" t="s">
        <v>1677</v>
      </c>
      <c r="E927" s="56" t="s">
        <v>1678</v>
      </c>
      <c r="F927" s="43">
        <v>28.492</v>
      </c>
      <c r="G927" s="57"/>
      <c r="H927" s="57"/>
      <c r="I927" s="58"/>
      <c r="J927" s="59">
        <f t="shared" si="283"/>
        <v>742.8502282779862</v>
      </c>
      <c r="K927" s="60">
        <v>0.9336178972540682</v>
      </c>
      <c r="L927" s="75">
        <v>1.06283195499048</v>
      </c>
      <c r="M927" s="63">
        <f t="shared" si="284"/>
        <v>20381.1</v>
      </c>
      <c r="N927" s="63">
        <f t="shared" si="285"/>
        <v>18485.7</v>
      </c>
      <c r="O927" s="62"/>
      <c r="P927" s="76"/>
      <c r="Q927" s="77"/>
      <c r="R927" s="76"/>
      <c r="S927" s="77"/>
      <c r="T927" s="64"/>
      <c r="U927" s="45">
        <f t="shared" si="286"/>
        <v>18485.7</v>
      </c>
      <c r="V927" s="65"/>
    </row>
    <row r="928" spans="1:22" ht="12.75">
      <c r="A928" s="52">
        <v>25</v>
      </c>
      <c r="B928" s="53">
        <v>10</v>
      </c>
      <c r="C928" s="54" t="s">
        <v>52</v>
      </c>
      <c r="D928" s="55" t="s">
        <v>1679</v>
      </c>
      <c r="E928" s="56" t="s">
        <v>1680</v>
      </c>
      <c r="F928" s="43">
        <v>25.811</v>
      </c>
      <c r="G928" s="57"/>
      <c r="H928" s="57"/>
      <c r="I928" s="58"/>
      <c r="J928" s="59">
        <f t="shared" si="283"/>
        <v>742.8502282779862</v>
      </c>
      <c r="K928" s="60">
        <v>0.9336178972540682</v>
      </c>
      <c r="L928" s="75">
        <v>1.081186752746757</v>
      </c>
      <c r="M928" s="63">
        <f t="shared" si="284"/>
        <v>18627.6</v>
      </c>
      <c r="N928" s="63">
        <f t="shared" si="285"/>
        <v>16895.2</v>
      </c>
      <c r="O928" s="62"/>
      <c r="P928" s="76"/>
      <c r="Q928" s="77"/>
      <c r="R928" s="76"/>
      <c r="S928" s="77"/>
      <c r="T928" s="64"/>
      <c r="U928" s="45">
        <f t="shared" si="286"/>
        <v>16895.2</v>
      </c>
      <c r="V928" s="65"/>
    </row>
    <row r="929" spans="1:22" ht="12.75">
      <c r="A929" s="52">
        <v>25</v>
      </c>
      <c r="B929" s="53">
        <v>11</v>
      </c>
      <c r="C929" s="54" t="s">
        <v>52</v>
      </c>
      <c r="D929" s="55" t="s">
        <v>1681</v>
      </c>
      <c r="E929" s="56" t="s">
        <v>1682</v>
      </c>
      <c r="F929" s="43">
        <v>33.135</v>
      </c>
      <c r="G929" s="57"/>
      <c r="H929" s="57"/>
      <c r="I929" s="58"/>
      <c r="J929" s="59">
        <f t="shared" si="283"/>
        <v>742.8502282779862</v>
      </c>
      <c r="K929" s="60">
        <v>0.9336178972540682</v>
      </c>
      <c r="L929" s="75">
        <v>1.089209474478875</v>
      </c>
      <c r="M929" s="63">
        <f t="shared" si="284"/>
        <v>24005.4</v>
      </c>
      <c r="N929" s="63">
        <f t="shared" si="285"/>
        <v>21772.9</v>
      </c>
      <c r="O929" s="62"/>
      <c r="P929" s="76"/>
      <c r="Q929" s="77"/>
      <c r="R929" s="76"/>
      <c r="S929" s="77"/>
      <c r="T929" s="64"/>
      <c r="U929" s="45">
        <f t="shared" si="286"/>
        <v>21772.9</v>
      </c>
      <c r="V929" s="65"/>
    </row>
    <row r="930" spans="1:22" ht="12.75">
      <c r="A930" s="52">
        <v>25</v>
      </c>
      <c r="B930" s="53">
        <v>12</v>
      </c>
      <c r="C930" s="54" t="s">
        <v>52</v>
      </c>
      <c r="D930" s="55" t="s">
        <v>1683</v>
      </c>
      <c r="E930" s="56" t="s">
        <v>1684</v>
      </c>
      <c r="F930" s="43">
        <v>23.57</v>
      </c>
      <c r="G930" s="57"/>
      <c r="H930" s="57"/>
      <c r="I930" s="58"/>
      <c r="J930" s="59">
        <f t="shared" si="283"/>
        <v>742.8502282779862</v>
      </c>
      <c r="K930" s="60">
        <v>0.9336178972540682</v>
      </c>
      <c r="L930" s="75">
        <v>1.1037479953825335</v>
      </c>
      <c r="M930" s="63">
        <f t="shared" si="284"/>
        <v>17194.7</v>
      </c>
      <c r="N930" s="63">
        <f t="shared" si="285"/>
        <v>15595.6</v>
      </c>
      <c r="O930" s="62"/>
      <c r="P930" s="76"/>
      <c r="Q930" s="77"/>
      <c r="R930" s="76"/>
      <c r="S930" s="77"/>
      <c r="T930" s="64"/>
      <c r="U930" s="45">
        <f t="shared" si="286"/>
        <v>15595.6</v>
      </c>
      <c r="V930" s="65"/>
    </row>
    <row r="931" spans="1:22" ht="12.75">
      <c r="A931" s="52">
        <v>25</v>
      </c>
      <c r="B931" s="53">
        <v>13</v>
      </c>
      <c r="C931" s="54" t="s">
        <v>52</v>
      </c>
      <c r="D931" s="55" t="s">
        <v>1685</v>
      </c>
      <c r="E931" s="56" t="s">
        <v>1686</v>
      </c>
      <c r="F931" s="43">
        <v>27.135</v>
      </c>
      <c r="G931" s="57"/>
      <c r="H931" s="57"/>
      <c r="I931" s="58"/>
      <c r="J931" s="59">
        <f t="shared" si="283"/>
        <v>742.8502282779862</v>
      </c>
      <c r="K931" s="60">
        <v>0.9336178972540682</v>
      </c>
      <c r="L931" s="75">
        <v>1.0286585086003233</v>
      </c>
      <c r="M931" s="63">
        <f t="shared" si="284"/>
        <v>19088.8</v>
      </c>
      <c r="N931" s="63">
        <f t="shared" si="285"/>
        <v>17313.5</v>
      </c>
      <c r="O931" s="62"/>
      <c r="P931" s="76"/>
      <c r="Q931" s="77"/>
      <c r="R931" s="76"/>
      <c r="S931" s="77"/>
      <c r="T931" s="64"/>
      <c r="U931" s="45">
        <f t="shared" si="286"/>
        <v>17313.5</v>
      </c>
      <c r="V931" s="65"/>
    </row>
    <row r="932" spans="1:22" ht="12.75">
      <c r="A932" s="52">
        <v>25</v>
      </c>
      <c r="B932" s="53">
        <v>14</v>
      </c>
      <c r="C932" s="54" t="s">
        <v>52</v>
      </c>
      <c r="D932" s="55" t="s">
        <v>1687</v>
      </c>
      <c r="E932" s="56" t="s">
        <v>1688</v>
      </c>
      <c r="F932" s="43">
        <v>17.104</v>
      </c>
      <c r="G932" s="57"/>
      <c r="H932" s="57"/>
      <c r="I932" s="58"/>
      <c r="J932" s="59">
        <f t="shared" si="283"/>
        <v>742.8502282779862</v>
      </c>
      <c r="K932" s="60">
        <v>0.9336178972540682</v>
      </c>
      <c r="L932" s="75">
        <v>1.1334135340501401</v>
      </c>
      <c r="M932" s="63">
        <f t="shared" si="284"/>
        <v>12653.6</v>
      </c>
      <c r="N932" s="63">
        <f t="shared" si="285"/>
        <v>11476.8</v>
      </c>
      <c r="O932" s="62"/>
      <c r="P932" s="76"/>
      <c r="Q932" s="77"/>
      <c r="R932" s="76"/>
      <c r="S932" s="77"/>
      <c r="T932" s="64"/>
      <c r="U932" s="45">
        <f t="shared" si="286"/>
        <v>11476.8</v>
      </c>
      <c r="V932" s="65"/>
    </row>
    <row r="933" spans="1:22" ht="12.75">
      <c r="A933" s="52">
        <v>25</v>
      </c>
      <c r="B933" s="53">
        <v>15</v>
      </c>
      <c r="C933" s="54" t="s">
        <v>52</v>
      </c>
      <c r="D933" s="55" t="s">
        <v>1689</v>
      </c>
      <c r="E933" s="56" t="s">
        <v>1690</v>
      </c>
      <c r="F933" s="43">
        <v>36.572</v>
      </c>
      <c r="G933" s="57"/>
      <c r="H933" s="57"/>
      <c r="I933" s="58"/>
      <c r="J933" s="59">
        <f t="shared" si="283"/>
        <v>742.8502282779862</v>
      </c>
      <c r="K933" s="60">
        <v>0.9336178972540682</v>
      </c>
      <c r="L933" s="75">
        <v>1.0707014140479345</v>
      </c>
      <c r="M933" s="63">
        <f t="shared" si="284"/>
        <v>26260.7</v>
      </c>
      <c r="N933" s="63">
        <f t="shared" si="285"/>
        <v>23818.5</v>
      </c>
      <c r="O933" s="62"/>
      <c r="P933" s="76"/>
      <c r="Q933" s="77"/>
      <c r="R933" s="76"/>
      <c r="S933" s="77"/>
      <c r="T933" s="64"/>
      <c r="U933" s="45">
        <f t="shared" si="286"/>
        <v>23818.5</v>
      </c>
      <c r="V933" s="65"/>
    </row>
    <row r="934" spans="1:22" ht="12.75">
      <c r="A934" s="52">
        <v>25</v>
      </c>
      <c r="B934" s="53">
        <v>16</v>
      </c>
      <c r="C934" s="54" t="s">
        <v>52</v>
      </c>
      <c r="D934" s="55" t="s">
        <v>1691</v>
      </c>
      <c r="E934" s="56" t="s">
        <v>1692</v>
      </c>
      <c r="F934" s="43">
        <v>23.681</v>
      </c>
      <c r="G934" s="57"/>
      <c r="H934" s="57"/>
      <c r="I934" s="58"/>
      <c r="J934" s="59">
        <f t="shared" si="283"/>
        <v>742.8502282779862</v>
      </c>
      <c r="K934" s="60">
        <v>0.9336178972540682</v>
      </c>
      <c r="L934" s="75">
        <v>1.1621956823224961</v>
      </c>
      <c r="M934" s="63">
        <f t="shared" si="284"/>
        <v>17755.6</v>
      </c>
      <c r="N934" s="63">
        <f t="shared" si="285"/>
        <v>16104.3</v>
      </c>
      <c r="O934" s="62"/>
      <c r="P934" s="76"/>
      <c r="Q934" s="77"/>
      <c r="R934" s="76"/>
      <c r="S934" s="77"/>
      <c r="T934" s="64"/>
      <c r="U934" s="45">
        <f t="shared" si="286"/>
        <v>16104.3</v>
      </c>
      <c r="V934" s="65"/>
    </row>
    <row r="935" spans="1:22" ht="12.75">
      <c r="A935" s="52">
        <v>25</v>
      </c>
      <c r="B935" s="53">
        <v>17</v>
      </c>
      <c r="C935" s="54" t="s">
        <v>52</v>
      </c>
      <c r="D935" s="55" t="s">
        <v>1693</v>
      </c>
      <c r="E935" s="56" t="s">
        <v>1694</v>
      </c>
      <c r="F935" s="43">
        <v>13.345</v>
      </c>
      <c r="G935" s="57"/>
      <c r="H935" s="57"/>
      <c r="I935" s="58"/>
      <c r="J935" s="59">
        <f t="shared" si="283"/>
        <v>742.8502282779862</v>
      </c>
      <c r="K935" s="60">
        <v>0.9336178972540682</v>
      </c>
      <c r="L935" s="75">
        <v>1.1167381938306307</v>
      </c>
      <c r="M935" s="63">
        <f t="shared" si="284"/>
        <v>9795.5</v>
      </c>
      <c r="N935" s="63">
        <f t="shared" si="285"/>
        <v>8884.5</v>
      </c>
      <c r="O935" s="62"/>
      <c r="P935" s="76"/>
      <c r="Q935" s="77"/>
      <c r="R935" s="76"/>
      <c r="S935" s="77"/>
      <c r="T935" s="64">
        <f>ROUND(N921,1)</f>
        <v>9558.2</v>
      </c>
      <c r="U935" s="45">
        <f t="shared" si="286"/>
        <v>18442.7</v>
      </c>
      <c r="V935" s="65"/>
    </row>
    <row r="936" spans="1:22" ht="12.75">
      <c r="A936" s="52">
        <v>25</v>
      </c>
      <c r="B936" s="53">
        <v>18</v>
      </c>
      <c r="C936" s="54" t="s">
        <v>52</v>
      </c>
      <c r="D936" s="55" t="s">
        <v>1695</v>
      </c>
      <c r="E936" s="56" t="s">
        <v>1696</v>
      </c>
      <c r="F936" s="43">
        <v>27.847</v>
      </c>
      <c r="G936" s="57"/>
      <c r="H936" s="57"/>
      <c r="I936" s="58"/>
      <c r="J936" s="59">
        <f t="shared" si="283"/>
        <v>742.8502282779862</v>
      </c>
      <c r="K936" s="60">
        <v>0.9336178972540682</v>
      </c>
      <c r="L936" s="75">
        <v>1.0744393314881608</v>
      </c>
      <c r="M936" s="63">
        <f t="shared" si="284"/>
        <v>20031.8</v>
      </c>
      <c r="N936" s="63">
        <f t="shared" si="285"/>
        <v>18168.8</v>
      </c>
      <c r="O936" s="62"/>
      <c r="P936" s="76"/>
      <c r="Q936" s="77"/>
      <c r="R936" s="76"/>
      <c r="S936" s="77"/>
      <c r="T936" s="64"/>
      <c r="U936" s="45">
        <f t="shared" si="286"/>
        <v>18168.8</v>
      </c>
      <c r="V936" s="65"/>
    </row>
    <row r="937" spans="1:22" ht="12.75">
      <c r="A937" s="52">
        <v>25</v>
      </c>
      <c r="B937" s="53">
        <v>19</v>
      </c>
      <c r="C937" s="54" t="s">
        <v>52</v>
      </c>
      <c r="D937" s="55" t="s">
        <v>1697</v>
      </c>
      <c r="E937" s="56" t="s">
        <v>1698</v>
      </c>
      <c r="F937" s="43">
        <v>35.573</v>
      </c>
      <c r="G937" s="57"/>
      <c r="H937" s="57"/>
      <c r="I937" s="58"/>
      <c r="J937" s="59">
        <f t="shared" si="283"/>
        <v>742.8502282779862</v>
      </c>
      <c r="K937" s="60">
        <v>0.9336178972540682</v>
      </c>
      <c r="L937" s="75">
        <v>1.1174167741039929</v>
      </c>
      <c r="M937" s="63">
        <f t="shared" si="284"/>
        <v>26119.6</v>
      </c>
      <c r="N937" s="63">
        <f t="shared" si="285"/>
        <v>23690.5</v>
      </c>
      <c r="O937" s="62"/>
      <c r="P937" s="76"/>
      <c r="Q937" s="77"/>
      <c r="R937" s="76"/>
      <c r="S937" s="77"/>
      <c r="T937" s="64"/>
      <c r="U937" s="45">
        <f t="shared" si="286"/>
        <v>23690.5</v>
      </c>
      <c r="V937" s="65"/>
    </row>
    <row r="938" spans="1:22" ht="12.75">
      <c r="A938" s="52">
        <v>25</v>
      </c>
      <c r="B938" s="53">
        <v>20</v>
      </c>
      <c r="C938" s="54" t="s">
        <v>52</v>
      </c>
      <c r="D938" s="55" t="s">
        <v>1699</v>
      </c>
      <c r="E938" s="56" t="s">
        <v>1700</v>
      </c>
      <c r="F938" s="43">
        <v>27.513</v>
      </c>
      <c r="G938" s="57"/>
      <c r="H938" s="57"/>
      <c r="I938" s="58"/>
      <c r="J938" s="59">
        <f t="shared" si="283"/>
        <v>742.8502282779862</v>
      </c>
      <c r="K938" s="60">
        <v>0.9336178972540682</v>
      </c>
      <c r="L938" s="75">
        <v>1.1231193344706145</v>
      </c>
      <c r="M938" s="63">
        <f t="shared" si="284"/>
        <v>20256</v>
      </c>
      <c r="N938" s="63">
        <f t="shared" si="285"/>
        <v>18372.2</v>
      </c>
      <c r="O938" s="62"/>
      <c r="P938" s="76"/>
      <c r="Q938" s="77"/>
      <c r="R938" s="76"/>
      <c r="S938" s="77"/>
      <c r="T938" s="64"/>
      <c r="U938" s="45">
        <f t="shared" si="286"/>
        <v>18372.2</v>
      </c>
      <c r="V938" s="65"/>
    </row>
    <row r="939" spans="1:22" ht="12.75">
      <c r="A939" s="52">
        <v>25</v>
      </c>
      <c r="B939" s="53">
        <v>21</v>
      </c>
      <c r="C939" s="54" t="s">
        <v>52</v>
      </c>
      <c r="D939" s="55" t="s">
        <v>1701</v>
      </c>
      <c r="E939" s="56" t="s">
        <v>1088</v>
      </c>
      <c r="F939" s="43">
        <v>17.972</v>
      </c>
      <c r="G939" s="57"/>
      <c r="H939" s="57"/>
      <c r="I939" s="58"/>
      <c r="J939" s="59">
        <f t="shared" si="283"/>
        <v>742.8502282779862</v>
      </c>
      <c r="K939" s="60">
        <v>0.9336178972540682</v>
      </c>
      <c r="L939" s="75">
        <v>1.0584651971641932</v>
      </c>
      <c r="M939" s="63">
        <f t="shared" si="284"/>
        <v>12828.6</v>
      </c>
      <c r="N939" s="63">
        <f t="shared" si="285"/>
        <v>11635.5</v>
      </c>
      <c r="O939" s="62"/>
      <c r="P939" s="76"/>
      <c r="Q939" s="77"/>
      <c r="R939" s="76"/>
      <c r="S939" s="77"/>
      <c r="T939" s="64"/>
      <c r="U939" s="45">
        <f t="shared" si="286"/>
        <v>11635.5</v>
      </c>
      <c r="V939" s="65"/>
    </row>
    <row r="940" spans="1:22" ht="12.75">
      <c r="A940" s="52">
        <v>25</v>
      </c>
      <c r="B940" s="53">
        <v>22</v>
      </c>
      <c r="C940" s="54" t="s">
        <v>52</v>
      </c>
      <c r="D940" s="55" t="s">
        <v>1702</v>
      </c>
      <c r="E940" s="56" t="s">
        <v>1703</v>
      </c>
      <c r="F940" s="43">
        <v>18.829</v>
      </c>
      <c r="G940" s="57"/>
      <c r="H940" s="57"/>
      <c r="I940" s="58"/>
      <c r="J940" s="59">
        <f t="shared" si="283"/>
        <v>742.8502282779862</v>
      </c>
      <c r="K940" s="60">
        <v>0.9336178972540682</v>
      </c>
      <c r="L940" s="75">
        <v>1.0881245510408575</v>
      </c>
      <c r="M940" s="63">
        <f t="shared" si="284"/>
        <v>13634</v>
      </c>
      <c r="N940" s="63">
        <f t="shared" si="285"/>
        <v>12366</v>
      </c>
      <c r="O940" s="62"/>
      <c r="P940" s="76"/>
      <c r="Q940" s="77"/>
      <c r="R940" s="76"/>
      <c r="S940" s="77"/>
      <c r="T940" s="64"/>
      <c r="U940" s="45">
        <f t="shared" si="286"/>
        <v>12366</v>
      </c>
      <c r="V940" s="65"/>
    </row>
    <row r="941" spans="1:22" ht="12.75">
      <c r="A941" s="52">
        <v>25</v>
      </c>
      <c r="B941" s="53">
        <v>23</v>
      </c>
      <c r="C941" s="54" t="s">
        <v>52</v>
      </c>
      <c r="D941" s="55" t="s">
        <v>1704</v>
      </c>
      <c r="E941" s="56" t="s">
        <v>1705</v>
      </c>
      <c r="F941" s="43">
        <v>11.341</v>
      </c>
      <c r="G941" s="57"/>
      <c r="H941" s="57"/>
      <c r="I941" s="58"/>
      <c r="J941" s="59">
        <f t="shared" si="283"/>
        <v>742.8502282779862</v>
      </c>
      <c r="K941" s="60">
        <v>0.9336178972540682</v>
      </c>
      <c r="L941" s="75">
        <v>1.0450887713282224</v>
      </c>
      <c r="M941" s="63">
        <f t="shared" si="284"/>
        <v>8042.7</v>
      </c>
      <c r="N941" s="63">
        <f t="shared" si="285"/>
        <v>7294.7</v>
      </c>
      <c r="O941" s="62"/>
      <c r="P941" s="76"/>
      <c r="Q941" s="77"/>
      <c r="R941" s="76"/>
      <c r="S941" s="77"/>
      <c r="T941" s="64"/>
      <c r="U941" s="45">
        <f t="shared" si="286"/>
        <v>7294.7</v>
      </c>
      <c r="V941" s="65"/>
    </row>
    <row r="942" spans="1:22" ht="12.75">
      <c r="A942" s="52">
        <v>25</v>
      </c>
      <c r="B942" s="53">
        <v>24</v>
      </c>
      <c r="C942" s="54" t="s">
        <v>52</v>
      </c>
      <c r="D942" s="55" t="s">
        <v>1706</v>
      </c>
      <c r="E942" s="56" t="s">
        <v>1707</v>
      </c>
      <c r="F942" s="43">
        <v>13.183</v>
      </c>
      <c r="G942" s="57"/>
      <c r="H942" s="57"/>
      <c r="I942" s="58"/>
      <c r="J942" s="59">
        <f t="shared" si="283"/>
        <v>742.8502282779862</v>
      </c>
      <c r="K942" s="60">
        <v>0.9336178972540682</v>
      </c>
      <c r="L942" s="75">
        <v>1.0695056149156215</v>
      </c>
      <c r="M942" s="63">
        <f t="shared" si="284"/>
        <v>9460.7</v>
      </c>
      <c r="N942" s="63">
        <f t="shared" si="285"/>
        <v>8580.9</v>
      </c>
      <c r="O942" s="62"/>
      <c r="P942" s="76"/>
      <c r="Q942" s="77"/>
      <c r="R942" s="76"/>
      <c r="S942" s="77"/>
      <c r="T942" s="64"/>
      <c r="U942" s="45">
        <f t="shared" si="286"/>
        <v>8580.9</v>
      </c>
      <c r="V942" s="65"/>
    </row>
    <row r="943" spans="1:22" ht="12.75">
      <c r="A943" s="52">
        <v>25</v>
      </c>
      <c r="B943" s="53">
        <v>25</v>
      </c>
      <c r="C943" s="54" t="s">
        <v>52</v>
      </c>
      <c r="D943" s="55" t="s">
        <v>1708</v>
      </c>
      <c r="E943" s="56" t="s">
        <v>542</v>
      </c>
      <c r="F943" s="43">
        <v>51.963</v>
      </c>
      <c r="G943" s="57"/>
      <c r="H943" s="57"/>
      <c r="I943" s="58"/>
      <c r="J943" s="59">
        <f t="shared" si="283"/>
        <v>742.8502282779862</v>
      </c>
      <c r="K943" s="60">
        <v>0.9336178972540682</v>
      </c>
      <c r="L943" s="75">
        <v>1.0794836503722758</v>
      </c>
      <c r="M943" s="63">
        <f t="shared" si="284"/>
        <v>37470.6</v>
      </c>
      <c r="N943" s="63">
        <f t="shared" si="285"/>
        <v>33985.8</v>
      </c>
      <c r="O943" s="62"/>
      <c r="P943" s="76"/>
      <c r="Q943" s="77"/>
      <c r="R943" s="76"/>
      <c r="S943" s="77"/>
      <c r="T943" s="64"/>
      <c r="U943" s="45">
        <f t="shared" si="286"/>
        <v>33985.8</v>
      </c>
      <c r="V943" s="65"/>
    </row>
    <row r="944" spans="1:22" ht="25.5">
      <c r="A944" s="52">
        <v>25</v>
      </c>
      <c r="B944" s="53">
        <v>26</v>
      </c>
      <c r="C944" s="54" t="s">
        <v>52</v>
      </c>
      <c r="D944" s="55" t="s">
        <v>1709</v>
      </c>
      <c r="E944" s="56" t="s">
        <v>1710</v>
      </c>
      <c r="F944" s="43">
        <v>23.952</v>
      </c>
      <c r="G944" s="57"/>
      <c r="H944" s="57"/>
      <c r="I944" s="58"/>
      <c r="J944" s="59">
        <f t="shared" si="283"/>
        <v>742.8502282779862</v>
      </c>
      <c r="K944" s="60">
        <v>0.9336178972540682</v>
      </c>
      <c r="L944" s="75">
        <v>1.052162367024971</v>
      </c>
      <c r="M944" s="63">
        <f t="shared" si="284"/>
        <v>17044.9</v>
      </c>
      <c r="N944" s="63">
        <f t="shared" si="285"/>
        <v>15459.7</v>
      </c>
      <c r="O944" s="62"/>
      <c r="P944" s="76"/>
      <c r="Q944" s="77"/>
      <c r="R944" s="76"/>
      <c r="S944" s="77"/>
      <c r="T944" s="64"/>
      <c r="U944" s="45">
        <f t="shared" si="286"/>
        <v>15459.7</v>
      </c>
      <c r="V944" s="65"/>
    </row>
    <row r="945" spans="1:22" s="154" customFormat="1" ht="25.5">
      <c r="A945" s="38">
        <v>25</v>
      </c>
      <c r="B945" s="39" t="s">
        <v>26</v>
      </c>
      <c r="C945" s="40" t="s">
        <v>111</v>
      </c>
      <c r="D945" s="148"/>
      <c r="E945" s="79" t="s">
        <v>112</v>
      </c>
      <c r="F945" s="43">
        <f>SUM(F946:F950)</f>
        <v>24.472</v>
      </c>
      <c r="G945" s="149">
        <f>SUM(G946:G950)</f>
        <v>0</v>
      </c>
      <c r="H945" s="149">
        <f>SUM(H946:H950)</f>
        <v>0</v>
      </c>
      <c r="I945" s="150"/>
      <c r="J945" s="151"/>
      <c r="K945" s="150"/>
      <c r="L945" s="152">
        <v>0</v>
      </c>
      <c r="M945" s="85">
        <f aca="true" t="shared" si="287" ref="M945:U945">SUM(M946:M950)</f>
        <v>17805.7</v>
      </c>
      <c r="N945" s="85">
        <f t="shared" si="287"/>
        <v>16149.8</v>
      </c>
      <c r="O945" s="85">
        <f t="shared" si="287"/>
        <v>0</v>
      </c>
      <c r="P945" s="85">
        <f t="shared" si="287"/>
        <v>0</v>
      </c>
      <c r="Q945" s="85">
        <f t="shared" si="287"/>
        <v>0</v>
      </c>
      <c r="R945" s="85">
        <f t="shared" si="287"/>
        <v>0</v>
      </c>
      <c r="S945" s="85">
        <f t="shared" si="287"/>
        <v>0</v>
      </c>
      <c r="T945" s="85">
        <f t="shared" si="287"/>
        <v>0</v>
      </c>
      <c r="U945" s="85">
        <f t="shared" si="287"/>
        <v>16149.8</v>
      </c>
      <c r="V945" s="153"/>
    </row>
    <row r="946" spans="1:22" ht="25.5">
      <c r="A946" s="52">
        <v>25</v>
      </c>
      <c r="B946" s="146">
        <v>27</v>
      </c>
      <c r="C946" s="88" t="s">
        <v>113</v>
      </c>
      <c r="D946" s="169" t="s">
        <v>1711</v>
      </c>
      <c r="E946" s="56" t="s">
        <v>1712</v>
      </c>
      <c r="F946" s="43">
        <v>3.985</v>
      </c>
      <c r="G946" s="57"/>
      <c r="H946" s="57"/>
      <c r="I946" s="58"/>
      <c r="J946" s="59">
        <f>+($F$7-$O$952-$Q$952-$P$952-$R$952-$S$952)/($F$952-$G$952*1-$H$952*0.5)*0.646*1.0268514</f>
        <v>742.8502282779862</v>
      </c>
      <c r="K946" s="60">
        <v>0.9336178972540682</v>
      </c>
      <c r="L946" s="75">
        <v>1.1621956823224961</v>
      </c>
      <c r="M946" s="63">
        <f>ROUND(J946*(F946-G946-H946*I946)*K946*(0.5+0.5*L946),1)</f>
        <v>2987.9</v>
      </c>
      <c r="N946" s="63">
        <f>ROUND(M946*0.907,1)</f>
        <v>2710</v>
      </c>
      <c r="O946" s="62"/>
      <c r="P946" s="76"/>
      <c r="Q946" s="77"/>
      <c r="R946" s="76"/>
      <c r="S946" s="77"/>
      <c r="T946" s="64"/>
      <c r="U946" s="45">
        <f>+N946+O946+T946+R946+S946+Q946</f>
        <v>2710</v>
      </c>
      <c r="V946" s="65"/>
    </row>
    <row r="947" spans="1:22" ht="25.5">
      <c r="A947" s="52">
        <v>25</v>
      </c>
      <c r="B947" s="146">
        <v>28</v>
      </c>
      <c r="C947" s="88" t="s">
        <v>113</v>
      </c>
      <c r="D947" s="169" t="s">
        <v>1713</v>
      </c>
      <c r="E947" s="56" t="s">
        <v>1714</v>
      </c>
      <c r="F947" s="43">
        <v>9.567</v>
      </c>
      <c r="G947" s="57"/>
      <c r="H947" s="57"/>
      <c r="I947" s="58"/>
      <c r="J947" s="59">
        <f>+($F$7-$O$952-$Q$952-$P$952-$R$952-$S$952)/($F$952-$G$952*1-$H$952*0.5)*0.646*1.0268514</f>
        <v>742.8502282779862</v>
      </c>
      <c r="K947" s="60">
        <v>0.9336178972540682</v>
      </c>
      <c r="L947" s="75">
        <v>1.089209474478875</v>
      </c>
      <c r="M947" s="63">
        <f>ROUND(J947*(F947-G947-H947*I947)*K947*(0.5+0.5*L947),1)</f>
        <v>6931</v>
      </c>
      <c r="N947" s="63">
        <f>ROUND(M947*0.907,1)</f>
        <v>6286.4</v>
      </c>
      <c r="O947" s="62"/>
      <c r="P947" s="76"/>
      <c r="Q947" s="77"/>
      <c r="R947" s="76"/>
      <c r="S947" s="77"/>
      <c r="T947" s="64"/>
      <c r="U947" s="45">
        <f>+N947+O947+T947+R947+S947+Q947</f>
        <v>6286.4</v>
      </c>
      <c r="V947" s="65"/>
    </row>
    <row r="948" spans="1:22" ht="25.5">
      <c r="A948" s="52">
        <v>25</v>
      </c>
      <c r="B948" s="146">
        <v>29</v>
      </c>
      <c r="C948" s="88" t="s">
        <v>113</v>
      </c>
      <c r="D948" s="169" t="s">
        <v>1715</v>
      </c>
      <c r="E948" s="56" t="s">
        <v>1716</v>
      </c>
      <c r="F948" s="43">
        <v>3.491</v>
      </c>
      <c r="G948" s="57"/>
      <c r="H948" s="57"/>
      <c r="I948" s="58"/>
      <c r="J948" s="59">
        <f>+($F$7-$O$952-$Q$952-$P$952-$R$952-$S$952)/($F$952-$G$952*1-$H$952*0.5)*0.646*1.0268514</f>
        <v>742.8502282779862</v>
      </c>
      <c r="K948" s="60">
        <v>0.9336178972540682</v>
      </c>
      <c r="L948" s="75">
        <v>1.089209474478875</v>
      </c>
      <c r="M948" s="63">
        <f>ROUND(J948*(F948-G948-H948*I948)*K948*(0.5+0.5*L948),1)</f>
        <v>2529.1</v>
      </c>
      <c r="N948" s="63">
        <f>ROUND(M948*0.907,1)</f>
        <v>2293.9</v>
      </c>
      <c r="O948" s="62"/>
      <c r="P948" s="76"/>
      <c r="Q948" s="77"/>
      <c r="R948" s="76"/>
      <c r="S948" s="77"/>
      <c r="T948" s="64"/>
      <c r="U948" s="45">
        <f>+N948+O948+T948+R948+S948+Q948</f>
        <v>2293.9</v>
      </c>
      <c r="V948" s="65"/>
    </row>
    <row r="949" spans="1:22" ht="25.5">
      <c r="A949" s="52">
        <v>25</v>
      </c>
      <c r="B949" s="146">
        <v>30</v>
      </c>
      <c r="C949" s="88" t="s">
        <v>113</v>
      </c>
      <c r="D949" s="169" t="s">
        <v>1717</v>
      </c>
      <c r="E949" s="56" t="s">
        <v>1718</v>
      </c>
      <c r="F949" s="43">
        <v>1.6</v>
      </c>
      <c r="G949" s="57"/>
      <c r="H949" s="57"/>
      <c r="I949" s="58"/>
      <c r="J949" s="59">
        <f>+($F$7-$O$952-$Q$952-$P$952-$R$952-$S$952)/($F$952-$G$952*1-$H$952*0.5)*0.646*1.0268514</f>
        <v>742.8502282779862</v>
      </c>
      <c r="K949" s="60">
        <v>0.9336178972540682</v>
      </c>
      <c r="L949" s="75">
        <v>1.0744393314881608</v>
      </c>
      <c r="M949" s="63">
        <f>ROUND(J949*(F949-G949-H949*I949)*K949*(0.5+0.5*L949),1)</f>
        <v>1151</v>
      </c>
      <c r="N949" s="63">
        <f>ROUND(M949*0.907,1)</f>
        <v>1044</v>
      </c>
      <c r="O949" s="62"/>
      <c r="P949" s="76"/>
      <c r="Q949" s="77"/>
      <c r="R949" s="76"/>
      <c r="S949" s="77"/>
      <c r="T949" s="64"/>
      <c r="U949" s="45">
        <f>+N949+O949+T949+R949+S949+Q949</f>
        <v>1044</v>
      </c>
      <c r="V949" s="65"/>
    </row>
    <row r="950" spans="1:22" ht="25.5">
      <c r="A950" s="52">
        <v>25</v>
      </c>
      <c r="B950" s="146">
        <v>31</v>
      </c>
      <c r="C950" s="88" t="s">
        <v>113</v>
      </c>
      <c r="D950" s="169" t="s">
        <v>1719</v>
      </c>
      <c r="E950" s="56" t="s">
        <v>1720</v>
      </c>
      <c r="F950" s="43">
        <v>5.829</v>
      </c>
      <c r="G950" s="57"/>
      <c r="H950" s="57"/>
      <c r="I950" s="58"/>
      <c r="J950" s="59">
        <f>+($F$7-$O$952-$Q$952-$P$952-$R$952-$S$952)/($F$952-$G$952*1-$H$952*0.5)*0.646*1.0268514</f>
        <v>742.8502282779862</v>
      </c>
      <c r="K950" s="60">
        <v>0.9336178972540682</v>
      </c>
      <c r="L950" s="75">
        <v>1.081186752746757</v>
      </c>
      <c r="M950" s="63">
        <f>ROUND(J950*(F950-G950-H950*I950)*K950*(0.5+0.5*L950),1)</f>
        <v>4206.7</v>
      </c>
      <c r="N950" s="63">
        <f>ROUND(M950*0.907,1)</f>
        <v>3815.5</v>
      </c>
      <c r="O950" s="62"/>
      <c r="P950" s="76"/>
      <c r="Q950" s="77"/>
      <c r="R950" s="76"/>
      <c r="S950" s="77"/>
      <c r="T950" s="64"/>
      <c r="U950" s="45">
        <f>+N950+O950+T950+R950+S950+Q950</f>
        <v>3815.5</v>
      </c>
      <c r="V950" s="65"/>
    </row>
    <row r="951" spans="1:22" ht="25.5" hidden="1">
      <c r="A951" s="203">
        <v>26</v>
      </c>
      <c r="B951" s="204" t="s">
        <v>26</v>
      </c>
      <c r="C951" s="205" t="s">
        <v>27</v>
      </c>
      <c r="D951" s="55" t="s">
        <v>1721</v>
      </c>
      <c r="E951" s="168" t="s">
        <v>1722</v>
      </c>
      <c r="F951" s="43">
        <v>2906.569</v>
      </c>
      <c r="G951" s="206">
        <v>0</v>
      </c>
      <c r="H951" s="206">
        <v>49.015</v>
      </c>
      <c r="I951" s="58">
        <v>0.5</v>
      </c>
      <c r="J951" s="59"/>
      <c r="K951" s="60">
        <v>1</v>
      </c>
      <c r="L951" s="48">
        <v>0.9783600450401314</v>
      </c>
      <c r="M951" s="49">
        <f>ROUND((H962*(F951-G951-H951*I951)*K951)*(0.5+0.5*L951)+H961*F951*(0.5+0.5*L951),1)</f>
        <v>3201022.6</v>
      </c>
      <c r="N951" s="49"/>
      <c r="O951" s="62"/>
      <c r="P951" s="61">
        <v>2012.6</v>
      </c>
      <c r="Q951" s="49">
        <v>39773.5</v>
      </c>
      <c r="R951" s="61">
        <v>91843.4</v>
      </c>
      <c r="S951" s="49">
        <v>1079.2</v>
      </c>
      <c r="T951" s="64"/>
      <c r="U951" s="45">
        <f>M951+O951+P951+Q951+R951+S951+T951+S965-0.1</f>
        <v>3335731.2</v>
      </c>
      <c r="V951" s="65"/>
    </row>
    <row r="952" spans="1:22" ht="38.25">
      <c r="A952" s="204" t="s">
        <v>26</v>
      </c>
      <c r="B952" s="204" t="s">
        <v>26</v>
      </c>
      <c r="C952" s="205" t="s">
        <v>27</v>
      </c>
      <c r="D952" s="41"/>
      <c r="E952" s="207" t="s">
        <v>1723</v>
      </c>
      <c r="F952" s="43">
        <f>F12+F52+F84+F139+F192+F234+F259+F295+F324+F368+F401+F439+F488+F518+F564+F614+F649+F680+F732+F772+F800+F853+F887+F915+F951</f>
        <v>38971.689999999995</v>
      </c>
      <c r="G952" s="208">
        <f>G951+G915+G887+G853+G800+G772+G732+G680+G649+G614+G564+G518+G488+G439+G401+G368+G324+G295+G259+G234+G192+G139+G84+G52+G12</f>
        <v>0</v>
      </c>
      <c r="H952" s="206">
        <f>H951+H915+H887+H853+H800+H772+H732+H680+H649+H614+H564+H518+H488+H439+H401+H368+H324+H295+H259+H234+H192+H139+H84+H52+H12</f>
        <v>49.015</v>
      </c>
      <c r="I952" s="209"/>
      <c r="J952" s="210"/>
      <c r="K952" s="211"/>
      <c r="L952" s="212">
        <v>1</v>
      </c>
      <c r="M952" s="213">
        <f aca="true" t="shared" si="288" ref="M952:U952">SUMIF($C$12:$C$951,"v",M12:M951)</f>
        <v>43615131.9</v>
      </c>
      <c r="N952" s="213">
        <f t="shared" si="288"/>
        <v>40414109.300000004</v>
      </c>
      <c r="O952" s="214">
        <f t="shared" si="288"/>
        <v>127616.90000000001</v>
      </c>
      <c r="P952" s="214">
        <f t="shared" si="288"/>
        <v>42391.4</v>
      </c>
      <c r="Q952" s="213">
        <f t="shared" si="288"/>
        <v>642121.8999999999</v>
      </c>
      <c r="R952" s="214">
        <f t="shared" si="288"/>
        <v>1044802.6000000002</v>
      </c>
      <c r="S952" s="213">
        <f t="shared" si="288"/>
        <v>13092.900000000001</v>
      </c>
      <c r="T952" s="215">
        <f t="shared" si="288"/>
        <v>0</v>
      </c>
      <c r="U952" s="216">
        <f t="shared" si="288"/>
        <v>45485157.50000001</v>
      </c>
      <c r="V952" s="217"/>
    </row>
    <row r="953" spans="6:22" ht="15" customHeight="1">
      <c r="F953" s="218"/>
      <c r="G953" s="219"/>
      <c r="H953" s="219"/>
      <c r="I953" s="220"/>
      <c r="J953" s="220"/>
      <c r="K953" s="220"/>
      <c r="L953" s="221"/>
      <c r="M953" s="222"/>
      <c r="N953" s="222"/>
      <c r="O953" s="219"/>
      <c r="P953" s="219"/>
      <c r="Q953" s="223"/>
      <c r="R953" s="219"/>
      <c r="S953" s="223"/>
      <c r="T953" s="224" t="s">
        <v>1724</v>
      </c>
      <c r="U953" s="216">
        <f>G7</f>
        <v>459446</v>
      </c>
      <c r="V953" s="217"/>
    </row>
    <row r="954" spans="6:22" ht="69" customHeight="1">
      <c r="F954" s="218"/>
      <c r="G954" s="219"/>
      <c r="H954" s="219"/>
      <c r="I954" s="220"/>
      <c r="J954" s="220"/>
      <c r="K954" s="220"/>
      <c r="L954" s="221"/>
      <c r="M954" s="222"/>
      <c r="N954" s="223"/>
      <c r="O954" s="219"/>
      <c r="P954" s="219"/>
      <c r="Q954" s="223"/>
      <c r="R954" s="219"/>
      <c r="S954" s="223"/>
      <c r="T954" s="225" t="s">
        <v>1725</v>
      </c>
      <c r="U954" s="226">
        <v>868735.6</v>
      </c>
      <c r="V954" s="217"/>
    </row>
    <row r="955" spans="6:22" ht="43.5" customHeight="1">
      <c r="F955" s="65"/>
      <c r="G955" s="65"/>
      <c r="H955" s="227"/>
      <c r="I955" s="228"/>
      <c r="J955" s="228"/>
      <c r="K955" s="33"/>
      <c r="L955" s="34"/>
      <c r="M955" s="229"/>
      <c r="N955" s="229"/>
      <c r="O955" s="230"/>
      <c r="P955" s="230"/>
      <c r="Q955" s="229"/>
      <c r="R955" s="230"/>
      <c r="S955" s="229"/>
      <c r="T955" s="224" t="s">
        <v>1726</v>
      </c>
      <c r="U955" s="216">
        <f>U952+U954+U953</f>
        <v>46813339.10000001</v>
      </c>
      <c r="V955" s="217"/>
    </row>
    <row r="956" spans="6:22" ht="12.75">
      <c r="F956" s="231"/>
      <c r="G956" s="232"/>
      <c r="H956" s="233"/>
      <c r="I956" s="234"/>
      <c r="J956" s="234"/>
      <c r="K956" s="235"/>
      <c r="L956" s="236"/>
      <c r="M956" s="237"/>
      <c r="N956" s="229"/>
      <c r="O956" s="238"/>
      <c r="P956" s="238"/>
      <c r="Q956" s="237"/>
      <c r="R956" s="239"/>
      <c r="S956" s="29"/>
      <c r="T956" s="201"/>
      <c r="U956" s="240"/>
      <c r="V956" s="240"/>
    </row>
    <row r="957" spans="6:22" ht="12.75">
      <c r="F957" s="231"/>
      <c r="G957" s="232"/>
      <c r="H957" s="233"/>
      <c r="I957" s="234"/>
      <c r="J957" s="234"/>
      <c r="K957" s="235"/>
      <c r="L957" s="236"/>
      <c r="M957" s="237"/>
      <c r="N957" s="229"/>
      <c r="O957" s="238"/>
      <c r="P957" s="238"/>
      <c r="Q957" s="237"/>
      <c r="R957" s="239"/>
      <c r="S957" s="241"/>
      <c r="T957" s="201"/>
      <c r="U957" s="240"/>
      <c r="V957" s="240"/>
    </row>
    <row r="958" spans="6:22" ht="12.75">
      <c r="F958" s="231"/>
      <c r="G958" s="232"/>
      <c r="H958" s="232"/>
      <c r="I958" s="234"/>
      <c r="J958" s="242"/>
      <c r="K958" s="235"/>
      <c r="L958" s="236"/>
      <c r="M958" s="243"/>
      <c r="N958" s="244"/>
      <c r="O958" s="245"/>
      <c r="P958" s="245"/>
      <c r="Q958" s="243"/>
      <c r="R958" s="245"/>
      <c r="S958" s="246">
        <f>+U952-F7</f>
        <v>0</v>
      </c>
      <c r="T958" s="1"/>
      <c r="U958" s="247"/>
      <c r="V958" s="247"/>
    </row>
    <row r="959" spans="6:22" ht="12.75">
      <c r="F959" s="231"/>
      <c r="G959" s="248"/>
      <c r="H959" s="232"/>
      <c r="I959" s="234"/>
      <c r="J959" s="249"/>
      <c r="K959" s="235"/>
      <c r="L959" s="236"/>
      <c r="M959" s="243"/>
      <c r="N959" s="244"/>
      <c r="O959" s="245"/>
      <c r="P959" s="245"/>
      <c r="Q959" s="243"/>
      <c r="R959" s="245"/>
      <c r="S959" s="250">
        <f>+U952/F7</f>
        <v>1.0000000000000002</v>
      </c>
      <c r="T959" s="1"/>
      <c r="U959" s="247"/>
      <c r="V959" s="247"/>
    </row>
    <row r="960" spans="6:22" ht="12.75">
      <c r="F960" s="227"/>
      <c r="G960" s="232"/>
      <c r="H960" s="232"/>
      <c r="I960" s="234"/>
      <c r="J960" s="234"/>
      <c r="K960" s="234"/>
      <c r="L960" s="251">
        <v>0.883</v>
      </c>
      <c r="M960" s="243" t="s">
        <v>1727</v>
      </c>
      <c r="N960" s="244"/>
      <c r="O960" s="245"/>
      <c r="P960" s="245"/>
      <c r="Q960" s="243"/>
      <c r="R960" s="245"/>
      <c r="S960" s="252"/>
      <c r="T960" s="1"/>
      <c r="U960" s="247"/>
      <c r="V960" s="247"/>
    </row>
    <row r="961" spans="6:22" ht="12.75">
      <c r="F961" s="231"/>
      <c r="G961" s="232"/>
      <c r="H961" s="253">
        <f>+J916</f>
        <v>376.76602120660414</v>
      </c>
      <c r="I961" s="254"/>
      <c r="J961" s="234"/>
      <c r="K961" s="235"/>
      <c r="L961" s="251">
        <v>0.907</v>
      </c>
      <c r="M961" s="243" t="s">
        <v>1728</v>
      </c>
      <c r="P961" s="255"/>
      <c r="S961" s="252"/>
      <c r="T961" s="1"/>
      <c r="U961" s="247"/>
      <c r="V961" s="247"/>
    </row>
    <row r="962" spans="6:22" ht="12.75">
      <c r="F962" s="227"/>
      <c r="G962" s="232"/>
      <c r="H962" s="257">
        <f>+J944</f>
        <v>742.8502282779862</v>
      </c>
      <c r="I962" s="254"/>
      <c r="J962" s="234"/>
      <c r="K962" s="235"/>
      <c r="L962" s="236"/>
      <c r="M962" s="243"/>
      <c r="N962" s="244"/>
      <c r="O962" s="245"/>
      <c r="P962" s="245"/>
      <c r="Q962" s="243"/>
      <c r="R962" s="239"/>
      <c r="S962" s="252"/>
      <c r="T962" s="1"/>
      <c r="U962" s="247"/>
      <c r="V962" s="247"/>
    </row>
    <row r="963" spans="6:22" ht="12.75">
      <c r="F963" s="231"/>
      <c r="G963" s="232"/>
      <c r="H963" s="232"/>
      <c r="I963" s="234"/>
      <c r="J963" s="234"/>
      <c r="K963" s="235"/>
      <c r="L963" s="236"/>
      <c r="M963" s="237"/>
      <c r="N963" s="258"/>
      <c r="O963" s="238"/>
      <c r="P963" s="238"/>
      <c r="Q963" s="237"/>
      <c r="R963" s="259"/>
      <c r="S963" s="252"/>
      <c r="T963" s="1"/>
      <c r="U963" s="247"/>
      <c r="V963" s="247"/>
    </row>
    <row r="964" spans="6:22" ht="12.75">
      <c r="F964" s="260"/>
      <c r="G964" s="232"/>
      <c r="H964" s="232"/>
      <c r="I964" s="234"/>
      <c r="J964" s="234"/>
      <c r="K964" s="235"/>
      <c r="L964" s="236"/>
      <c r="M964" s="237"/>
      <c r="N964" s="229"/>
      <c r="O964" s="238"/>
      <c r="P964" s="238"/>
      <c r="Q964" s="237"/>
      <c r="R964" s="239"/>
      <c r="S964" s="252"/>
      <c r="T964" s="1"/>
      <c r="U964" s="247"/>
      <c r="V964" s="247"/>
    </row>
    <row r="965" spans="6:22" ht="12.75">
      <c r="F965" s="260"/>
      <c r="G965" s="232"/>
      <c r="H965" s="232"/>
      <c r="I965" s="234"/>
      <c r="J965" s="234"/>
      <c r="K965" s="235"/>
      <c r="L965" s="236"/>
      <c r="M965" s="237"/>
      <c r="N965" s="229"/>
      <c r="O965" s="238"/>
      <c r="P965" s="238"/>
      <c r="Q965" s="237"/>
      <c r="R965" s="239"/>
      <c r="S965" s="252"/>
      <c r="T965" s="1"/>
      <c r="U965" s="247"/>
      <c r="V965" s="247"/>
    </row>
    <row r="966" spans="6:22" ht="12.75">
      <c r="F966" s="231"/>
      <c r="G966" s="232"/>
      <c r="H966" s="232"/>
      <c r="I966" s="234"/>
      <c r="J966" s="234"/>
      <c r="K966" s="235"/>
      <c r="L966" s="236"/>
      <c r="M966" s="237"/>
      <c r="N966" s="229"/>
      <c r="O966" s="238"/>
      <c r="P966" s="238"/>
      <c r="Q966" s="237"/>
      <c r="R966" s="239"/>
      <c r="S966" s="252"/>
      <c r="T966" s="1"/>
      <c r="U966" s="247"/>
      <c r="V966" s="247"/>
    </row>
    <row r="967" spans="6:22" ht="12.75">
      <c r="F967" s="261"/>
      <c r="G967" s="232"/>
      <c r="H967" s="232"/>
      <c r="I967" s="234"/>
      <c r="J967" s="234"/>
      <c r="K967" s="249"/>
      <c r="L967" s="262"/>
      <c r="M967" s="237"/>
      <c r="N967" s="229"/>
      <c r="O967" s="238"/>
      <c r="P967" s="238"/>
      <c r="Q967" s="237"/>
      <c r="R967" s="239"/>
      <c r="S967" s="252"/>
      <c r="T967" s="1"/>
      <c r="U967" s="247"/>
      <c r="V967" s="247"/>
    </row>
    <row r="968" spans="6:22" ht="12.75">
      <c r="F968" s="263"/>
      <c r="G968" s="232"/>
      <c r="H968" s="232"/>
      <c r="I968" s="234"/>
      <c r="J968" s="234"/>
      <c r="K968" s="235"/>
      <c r="L968" s="236"/>
      <c r="M968" s="237"/>
      <c r="N968" s="229"/>
      <c r="O968" s="238"/>
      <c r="P968" s="238"/>
      <c r="Q968" s="237"/>
      <c r="R968" s="239"/>
      <c r="S968" s="139"/>
      <c r="T968" s="1"/>
      <c r="U968" s="247"/>
      <c r="V968" s="247"/>
    </row>
    <row r="969" spans="6:22" ht="12.75">
      <c r="F969" s="231"/>
      <c r="G969" s="232"/>
      <c r="H969" s="232"/>
      <c r="I969" s="234"/>
      <c r="J969" s="234"/>
      <c r="K969" s="235"/>
      <c r="L969" s="236"/>
      <c r="M969" s="237"/>
      <c r="N969" s="264"/>
      <c r="O969" s="238"/>
      <c r="P969" s="238"/>
      <c r="Q969" s="237"/>
      <c r="R969" s="239"/>
      <c r="S969" s="139"/>
      <c r="T969" s="1"/>
      <c r="U969" s="247"/>
      <c r="V969" s="247"/>
    </row>
    <row r="970" spans="6:22" ht="12.75">
      <c r="F970" s="231"/>
      <c r="G970" s="232"/>
      <c r="H970" s="265"/>
      <c r="I970" s="234"/>
      <c r="J970" s="234"/>
      <c r="K970" s="235"/>
      <c r="L970" s="236"/>
      <c r="M970" s="237"/>
      <c r="N970" s="264"/>
      <c r="O970" s="238"/>
      <c r="P970" s="238"/>
      <c r="Q970" s="237"/>
      <c r="R970" s="266"/>
      <c r="S970" s="267"/>
      <c r="T970" s="1"/>
      <c r="U970" s="247"/>
      <c r="V970" s="247"/>
    </row>
    <row r="971" spans="6:22" ht="12.75">
      <c r="F971" s="231"/>
      <c r="G971" s="232"/>
      <c r="H971" s="265"/>
      <c r="I971" s="234"/>
      <c r="J971" s="234"/>
      <c r="K971" s="235"/>
      <c r="L971" s="236"/>
      <c r="M971" s="237"/>
      <c r="N971" s="264"/>
      <c r="O971" s="238"/>
      <c r="P971" s="238"/>
      <c r="Q971" s="237"/>
      <c r="R971" s="239"/>
      <c r="S971" s="139"/>
      <c r="T971" s="1"/>
      <c r="U971" s="247"/>
      <c r="V971" s="247"/>
    </row>
    <row r="972" spans="6:22" ht="12.75">
      <c r="F972" s="231"/>
      <c r="G972" s="232"/>
      <c r="H972" s="265"/>
      <c r="I972" s="234"/>
      <c r="J972" s="234"/>
      <c r="K972" s="235"/>
      <c r="L972" s="236"/>
      <c r="M972" s="237"/>
      <c r="N972" s="229"/>
      <c r="O972" s="238"/>
      <c r="P972" s="238"/>
      <c r="Q972" s="237"/>
      <c r="R972" s="239"/>
      <c r="S972" s="139"/>
      <c r="T972" s="1"/>
      <c r="U972" s="247"/>
      <c r="V972" s="247"/>
    </row>
    <row r="973" spans="6:22" ht="12.75">
      <c r="F973" s="231"/>
      <c r="G973" s="232"/>
      <c r="H973" s="265"/>
      <c r="I973" s="234"/>
      <c r="J973" s="234"/>
      <c r="K973" s="235"/>
      <c r="L973" s="236"/>
      <c r="M973" s="237"/>
      <c r="N973" s="229"/>
      <c r="O973" s="238"/>
      <c r="P973" s="238"/>
      <c r="Q973" s="237"/>
      <c r="R973" s="239"/>
      <c r="S973" s="139"/>
      <c r="T973" s="1"/>
      <c r="U973" s="247"/>
      <c r="V973" s="247"/>
    </row>
    <row r="974" spans="6:22" ht="12.75">
      <c r="F974" s="231"/>
      <c r="G974" s="232"/>
      <c r="H974" s="265"/>
      <c r="I974" s="234"/>
      <c r="J974" s="234"/>
      <c r="K974" s="235"/>
      <c r="L974" s="236"/>
      <c r="M974" s="237"/>
      <c r="N974" s="229"/>
      <c r="O974" s="238"/>
      <c r="P974" s="238"/>
      <c r="Q974" s="237"/>
      <c r="R974" s="239"/>
      <c r="S974" s="139"/>
      <c r="T974" s="1"/>
      <c r="U974" s="247"/>
      <c r="V974" s="247"/>
    </row>
    <row r="975" spans="6:22" ht="12.75">
      <c r="F975" s="231"/>
      <c r="G975" s="232"/>
      <c r="H975" s="232"/>
      <c r="I975" s="234"/>
      <c r="J975" s="234"/>
      <c r="K975" s="235"/>
      <c r="L975" s="236"/>
      <c r="M975" s="237"/>
      <c r="N975" s="229"/>
      <c r="O975" s="238"/>
      <c r="P975" s="238"/>
      <c r="Q975" s="237"/>
      <c r="R975" s="239"/>
      <c r="S975" s="139"/>
      <c r="T975" s="1"/>
      <c r="U975" s="247"/>
      <c r="V975" s="247"/>
    </row>
    <row r="976" spans="6:22" ht="12.75">
      <c r="F976" s="231"/>
      <c r="G976" s="232"/>
      <c r="H976" s="232"/>
      <c r="I976" s="234"/>
      <c r="J976" s="234"/>
      <c r="K976" s="235"/>
      <c r="L976" s="236"/>
      <c r="M976" s="237"/>
      <c r="N976" s="229"/>
      <c r="O976" s="238"/>
      <c r="P976" s="238"/>
      <c r="Q976" s="237"/>
      <c r="R976" s="239"/>
      <c r="S976" s="139"/>
      <c r="T976" s="1"/>
      <c r="U976" s="247"/>
      <c r="V976" s="247"/>
    </row>
    <row r="977" spans="6:22" ht="12.75">
      <c r="F977" s="231"/>
      <c r="G977" s="232"/>
      <c r="H977" s="232"/>
      <c r="I977" s="234"/>
      <c r="J977" s="234"/>
      <c r="K977" s="235"/>
      <c r="L977" s="236"/>
      <c r="M977" s="237"/>
      <c r="N977" s="229"/>
      <c r="O977" s="238"/>
      <c r="P977" s="238"/>
      <c r="Q977" s="237"/>
      <c r="R977" s="239"/>
      <c r="S977" s="139"/>
      <c r="T977" s="1"/>
      <c r="U977" s="247"/>
      <c r="V977" s="247"/>
    </row>
    <row r="978" spans="6:22" ht="12.75">
      <c r="F978" s="231"/>
      <c r="G978" s="232"/>
      <c r="H978" s="232"/>
      <c r="I978" s="234"/>
      <c r="J978" s="234"/>
      <c r="K978" s="235"/>
      <c r="L978" s="236"/>
      <c r="M978" s="237"/>
      <c r="N978" s="229"/>
      <c r="O978" s="238"/>
      <c r="P978" s="238"/>
      <c r="Q978" s="237"/>
      <c r="R978" s="239"/>
      <c r="S978" s="139"/>
      <c r="T978" s="1"/>
      <c r="U978" s="247"/>
      <c r="V978" s="247"/>
    </row>
    <row r="979" spans="6:22" ht="12.75">
      <c r="F979" s="231"/>
      <c r="G979" s="232"/>
      <c r="H979" s="232"/>
      <c r="I979" s="234"/>
      <c r="J979" s="234"/>
      <c r="K979" s="235"/>
      <c r="L979" s="236"/>
      <c r="M979" s="237"/>
      <c r="N979" s="229"/>
      <c r="O979" s="238"/>
      <c r="P979" s="238"/>
      <c r="Q979" s="237"/>
      <c r="R979" s="239"/>
      <c r="S979" s="139"/>
      <c r="T979" s="1"/>
      <c r="U979" s="247"/>
      <c r="V979" s="247"/>
    </row>
    <row r="980" spans="6:22" ht="12.75">
      <c r="F980" s="231"/>
      <c r="G980" s="232"/>
      <c r="H980" s="232"/>
      <c r="I980" s="234"/>
      <c r="J980" s="234"/>
      <c r="K980" s="235"/>
      <c r="L980" s="236"/>
      <c r="M980" s="237"/>
      <c r="N980" s="229"/>
      <c r="O980" s="238"/>
      <c r="P980" s="238"/>
      <c r="Q980" s="237"/>
      <c r="R980" s="239"/>
      <c r="S980" s="139"/>
      <c r="T980" s="1"/>
      <c r="U980" s="247"/>
      <c r="V980" s="247"/>
    </row>
    <row r="981" spans="6:22" ht="12.75">
      <c r="F981" s="231"/>
      <c r="G981" s="232"/>
      <c r="H981" s="232"/>
      <c r="I981" s="234"/>
      <c r="J981" s="234"/>
      <c r="K981" s="235"/>
      <c r="L981" s="236"/>
      <c r="M981" s="237"/>
      <c r="N981" s="229"/>
      <c r="O981" s="238"/>
      <c r="P981" s="238"/>
      <c r="Q981" s="237"/>
      <c r="R981" s="239"/>
      <c r="S981" s="139"/>
      <c r="T981" s="1"/>
      <c r="U981" s="247"/>
      <c r="V981" s="247"/>
    </row>
    <row r="982" spans="6:22" ht="12.75">
      <c r="F982" s="231"/>
      <c r="G982" s="232"/>
      <c r="H982" s="232"/>
      <c r="I982" s="234"/>
      <c r="J982" s="234"/>
      <c r="K982" s="235"/>
      <c r="L982" s="236"/>
      <c r="M982" s="237"/>
      <c r="N982" s="229"/>
      <c r="O982" s="238"/>
      <c r="P982" s="238"/>
      <c r="Q982" s="237"/>
      <c r="R982" s="239"/>
      <c r="S982" s="139"/>
      <c r="T982" s="1"/>
      <c r="U982" s="247"/>
      <c r="V982" s="247"/>
    </row>
    <row r="983" spans="6:22" ht="12.75">
      <c r="F983" s="231"/>
      <c r="G983" s="232"/>
      <c r="H983" s="232"/>
      <c r="I983" s="234"/>
      <c r="J983" s="234"/>
      <c r="K983" s="235"/>
      <c r="L983" s="236"/>
      <c r="M983" s="237"/>
      <c r="N983" s="229"/>
      <c r="O983" s="238"/>
      <c r="P983" s="238"/>
      <c r="Q983" s="237"/>
      <c r="R983" s="239"/>
      <c r="S983" s="139"/>
      <c r="T983" s="1"/>
      <c r="U983" s="247"/>
      <c r="V983" s="247"/>
    </row>
    <row r="984" spans="6:22" ht="12.75">
      <c r="F984" s="231"/>
      <c r="G984" s="232"/>
      <c r="H984" s="232"/>
      <c r="I984" s="234"/>
      <c r="J984" s="234"/>
      <c r="K984" s="235"/>
      <c r="L984" s="236"/>
      <c r="M984" s="237"/>
      <c r="N984" s="229"/>
      <c r="O984" s="238"/>
      <c r="P984" s="238"/>
      <c r="Q984" s="237"/>
      <c r="R984" s="239"/>
      <c r="S984" s="139"/>
      <c r="T984" s="1"/>
      <c r="U984" s="247"/>
      <c r="V984" s="247"/>
    </row>
    <row r="985" spans="6:22" ht="12.75">
      <c r="F985" s="231"/>
      <c r="G985" s="232"/>
      <c r="H985" s="232"/>
      <c r="I985" s="234"/>
      <c r="J985" s="234"/>
      <c r="K985" s="235"/>
      <c r="L985" s="236"/>
      <c r="M985" s="237"/>
      <c r="N985" s="229"/>
      <c r="O985" s="238"/>
      <c r="P985" s="238"/>
      <c r="Q985" s="237"/>
      <c r="R985" s="239"/>
      <c r="S985" s="139"/>
      <c r="T985" s="1"/>
      <c r="U985" s="247"/>
      <c r="V985" s="247"/>
    </row>
    <row r="986" spans="6:22" ht="12.75">
      <c r="F986" s="231"/>
      <c r="G986" s="232"/>
      <c r="H986" s="232"/>
      <c r="I986" s="234"/>
      <c r="J986" s="234"/>
      <c r="K986" s="235"/>
      <c r="L986" s="236"/>
      <c r="M986" s="237"/>
      <c r="N986" s="229"/>
      <c r="O986" s="238"/>
      <c r="P986" s="238"/>
      <c r="Q986" s="237"/>
      <c r="R986" s="239"/>
      <c r="S986" s="139"/>
      <c r="T986" s="1"/>
      <c r="U986" s="247"/>
      <c r="V986" s="247"/>
    </row>
    <row r="987" spans="6:22" ht="12.75">
      <c r="F987" s="231"/>
      <c r="G987" s="232"/>
      <c r="H987" s="232"/>
      <c r="I987" s="234"/>
      <c r="J987" s="234"/>
      <c r="K987" s="235"/>
      <c r="L987" s="236"/>
      <c r="M987" s="237"/>
      <c r="N987" s="229"/>
      <c r="O987" s="238"/>
      <c r="P987" s="238"/>
      <c r="Q987" s="237"/>
      <c r="R987" s="239"/>
      <c r="S987" s="139"/>
      <c r="T987" s="1"/>
      <c r="U987" s="247"/>
      <c r="V987" s="247"/>
    </row>
    <row r="988" spans="6:22" ht="12.75">
      <c r="F988" s="231"/>
      <c r="G988" s="232"/>
      <c r="H988" s="232"/>
      <c r="I988" s="234"/>
      <c r="J988" s="234"/>
      <c r="K988" s="235"/>
      <c r="L988" s="236"/>
      <c r="M988" s="237"/>
      <c r="N988" s="229"/>
      <c r="O988" s="238"/>
      <c r="P988" s="238"/>
      <c r="Q988" s="237"/>
      <c r="R988" s="239"/>
      <c r="S988" s="139"/>
      <c r="T988" s="1"/>
      <c r="U988" s="247"/>
      <c r="V988" s="247"/>
    </row>
    <row r="989" spans="6:22" ht="12.75">
      <c r="F989" s="231"/>
      <c r="G989" s="232"/>
      <c r="H989" s="232"/>
      <c r="I989" s="234"/>
      <c r="J989" s="234"/>
      <c r="K989" s="235"/>
      <c r="L989" s="236"/>
      <c r="M989" s="237"/>
      <c r="N989" s="229"/>
      <c r="O989" s="238"/>
      <c r="P989" s="238"/>
      <c r="Q989" s="237"/>
      <c r="R989" s="239"/>
      <c r="S989" s="139"/>
      <c r="T989" s="1"/>
      <c r="U989" s="247"/>
      <c r="V989" s="247"/>
    </row>
    <row r="990" spans="6:22" ht="12.75">
      <c r="F990" s="231"/>
      <c r="G990" s="232"/>
      <c r="H990" s="232"/>
      <c r="I990" s="234"/>
      <c r="J990" s="234"/>
      <c r="K990" s="235"/>
      <c r="L990" s="236"/>
      <c r="M990" s="237"/>
      <c r="N990" s="229"/>
      <c r="O990" s="238"/>
      <c r="P990" s="238"/>
      <c r="Q990" s="237"/>
      <c r="R990" s="239"/>
      <c r="S990" s="139"/>
      <c r="T990" s="1"/>
      <c r="U990" s="247"/>
      <c r="V990" s="247"/>
    </row>
    <row r="991" spans="6:22" ht="12.75">
      <c r="F991" s="231"/>
      <c r="G991" s="232"/>
      <c r="H991" s="232"/>
      <c r="I991" s="234"/>
      <c r="J991" s="234"/>
      <c r="K991" s="235"/>
      <c r="L991" s="236"/>
      <c r="M991" s="237"/>
      <c r="N991" s="229"/>
      <c r="O991" s="238"/>
      <c r="P991" s="238"/>
      <c r="Q991" s="237"/>
      <c r="R991" s="239"/>
      <c r="S991" s="139"/>
      <c r="T991" s="1"/>
      <c r="U991" s="247"/>
      <c r="V991" s="247"/>
    </row>
    <row r="992" spans="6:22" ht="12.75">
      <c r="F992" s="231"/>
      <c r="G992" s="232"/>
      <c r="H992" s="232"/>
      <c r="I992" s="234"/>
      <c r="J992" s="234"/>
      <c r="K992" s="235"/>
      <c r="L992" s="236"/>
      <c r="M992" s="237"/>
      <c r="N992" s="229"/>
      <c r="O992" s="238"/>
      <c r="P992" s="238"/>
      <c r="Q992" s="237"/>
      <c r="R992" s="239"/>
      <c r="S992" s="139"/>
      <c r="T992" s="1"/>
      <c r="U992" s="247"/>
      <c r="V992" s="247"/>
    </row>
    <row r="993" spans="6:22" ht="12.75">
      <c r="F993" s="231"/>
      <c r="G993" s="232"/>
      <c r="H993" s="232"/>
      <c r="I993" s="234"/>
      <c r="J993" s="234"/>
      <c r="K993" s="235"/>
      <c r="L993" s="236"/>
      <c r="M993" s="237"/>
      <c r="N993" s="229"/>
      <c r="O993" s="238"/>
      <c r="P993" s="238"/>
      <c r="Q993" s="237"/>
      <c r="R993" s="239"/>
      <c r="S993" s="139"/>
      <c r="T993" s="1"/>
      <c r="U993" s="247"/>
      <c r="V993" s="247"/>
    </row>
    <row r="994" spans="6:22" ht="12.75">
      <c r="F994" s="231"/>
      <c r="G994" s="232"/>
      <c r="H994" s="232"/>
      <c r="I994" s="234"/>
      <c r="J994" s="234"/>
      <c r="K994" s="235"/>
      <c r="L994" s="236"/>
      <c r="M994" s="237"/>
      <c r="N994" s="229"/>
      <c r="O994" s="238"/>
      <c r="P994" s="238"/>
      <c r="Q994" s="237"/>
      <c r="R994" s="239"/>
      <c r="S994" s="139"/>
      <c r="T994" s="1"/>
      <c r="U994" s="247"/>
      <c r="V994" s="247"/>
    </row>
    <row r="995" spans="6:22" ht="12.75">
      <c r="F995" s="231"/>
      <c r="G995" s="232"/>
      <c r="H995" s="232"/>
      <c r="I995" s="234"/>
      <c r="J995" s="234"/>
      <c r="K995" s="235"/>
      <c r="L995" s="236"/>
      <c r="M995" s="237"/>
      <c r="N995" s="229"/>
      <c r="O995" s="238"/>
      <c r="P995" s="238"/>
      <c r="Q995" s="237"/>
      <c r="R995" s="239"/>
      <c r="S995" s="139"/>
      <c r="T995" s="1"/>
      <c r="U995" s="247"/>
      <c r="V995" s="247"/>
    </row>
    <row r="996" spans="6:22" ht="12.75">
      <c r="F996" s="231"/>
      <c r="G996" s="232"/>
      <c r="H996" s="232"/>
      <c r="I996" s="234"/>
      <c r="J996" s="234"/>
      <c r="K996" s="235"/>
      <c r="L996" s="236"/>
      <c r="M996" s="237"/>
      <c r="N996" s="229"/>
      <c r="O996" s="238"/>
      <c r="P996" s="238"/>
      <c r="Q996" s="237"/>
      <c r="R996" s="239"/>
      <c r="S996" s="139"/>
      <c r="T996" s="1"/>
      <c r="U996" s="247"/>
      <c r="V996" s="247"/>
    </row>
    <row r="997" spans="6:22" ht="12.75">
      <c r="F997" s="231"/>
      <c r="G997" s="232"/>
      <c r="H997" s="232"/>
      <c r="I997" s="234"/>
      <c r="J997" s="234"/>
      <c r="K997" s="235"/>
      <c r="L997" s="236"/>
      <c r="M997" s="237"/>
      <c r="N997" s="229"/>
      <c r="O997" s="238"/>
      <c r="P997" s="238"/>
      <c r="Q997" s="237"/>
      <c r="R997" s="239"/>
      <c r="S997" s="139"/>
      <c r="T997" s="1"/>
      <c r="U997" s="247"/>
      <c r="V997" s="247"/>
    </row>
    <row r="998" spans="6:22" ht="12.75">
      <c r="F998" s="231"/>
      <c r="G998" s="232"/>
      <c r="H998" s="232"/>
      <c r="I998" s="234"/>
      <c r="J998" s="234"/>
      <c r="K998" s="235"/>
      <c r="L998" s="236"/>
      <c r="M998" s="237"/>
      <c r="N998" s="229"/>
      <c r="O998" s="238"/>
      <c r="P998" s="238"/>
      <c r="Q998" s="237"/>
      <c r="R998" s="239"/>
      <c r="S998" s="139"/>
      <c r="T998" s="1"/>
      <c r="U998" s="247"/>
      <c r="V998" s="247"/>
    </row>
    <row r="999" spans="6:22" ht="12.75">
      <c r="F999" s="231"/>
      <c r="G999" s="232"/>
      <c r="H999" s="232"/>
      <c r="I999" s="234"/>
      <c r="J999" s="234"/>
      <c r="K999" s="235"/>
      <c r="L999" s="236"/>
      <c r="M999" s="237"/>
      <c r="N999" s="229"/>
      <c r="O999" s="238"/>
      <c r="P999" s="238"/>
      <c r="Q999" s="237"/>
      <c r="R999" s="239"/>
      <c r="S999" s="139"/>
      <c r="T999" s="1"/>
      <c r="U999" s="247"/>
      <c r="V999" s="247"/>
    </row>
    <row r="1000" spans="6:22" ht="12.75">
      <c r="F1000" s="231"/>
      <c r="G1000" s="232"/>
      <c r="H1000" s="232"/>
      <c r="I1000" s="234"/>
      <c r="J1000" s="234"/>
      <c r="K1000" s="235"/>
      <c r="L1000" s="236"/>
      <c r="M1000" s="237"/>
      <c r="N1000" s="229"/>
      <c r="O1000" s="238"/>
      <c r="P1000" s="238"/>
      <c r="Q1000" s="237"/>
      <c r="R1000" s="239"/>
      <c r="S1000" s="139"/>
      <c r="T1000" s="1"/>
      <c r="U1000" s="247"/>
      <c r="V1000" s="247"/>
    </row>
    <row r="1001" spans="6:22" ht="12.75">
      <c r="F1001" s="231"/>
      <c r="G1001" s="232"/>
      <c r="H1001" s="232"/>
      <c r="I1001" s="234"/>
      <c r="J1001" s="234"/>
      <c r="K1001" s="235"/>
      <c r="L1001" s="236"/>
      <c r="M1001" s="237"/>
      <c r="N1001" s="229"/>
      <c r="O1001" s="238"/>
      <c r="P1001" s="238"/>
      <c r="Q1001" s="237"/>
      <c r="R1001" s="239"/>
      <c r="S1001" s="139"/>
      <c r="T1001" s="1"/>
      <c r="U1001" s="247"/>
      <c r="V1001" s="247"/>
    </row>
    <row r="1002" spans="6:22" ht="12.75">
      <c r="F1002" s="231"/>
      <c r="G1002" s="232"/>
      <c r="H1002" s="232"/>
      <c r="I1002" s="234"/>
      <c r="J1002" s="234"/>
      <c r="K1002" s="235"/>
      <c r="L1002" s="236"/>
      <c r="M1002" s="237"/>
      <c r="N1002" s="229"/>
      <c r="O1002" s="238"/>
      <c r="P1002" s="238"/>
      <c r="Q1002" s="237"/>
      <c r="R1002" s="239"/>
      <c r="S1002" s="139"/>
      <c r="T1002" s="1"/>
      <c r="U1002" s="247"/>
      <c r="V1002" s="247"/>
    </row>
    <row r="1003" spans="6:22" ht="12.75">
      <c r="F1003" s="231"/>
      <c r="G1003" s="232"/>
      <c r="H1003" s="232"/>
      <c r="I1003" s="234"/>
      <c r="J1003" s="234"/>
      <c r="K1003" s="235"/>
      <c r="L1003" s="236"/>
      <c r="M1003" s="237"/>
      <c r="N1003" s="229"/>
      <c r="O1003" s="238"/>
      <c r="P1003" s="238"/>
      <c r="Q1003" s="237"/>
      <c r="R1003" s="239"/>
      <c r="S1003" s="139"/>
      <c r="T1003" s="1"/>
      <c r="U1003" s="247"/>
      <c r="V1003" s="247"/>
    </row>
    <row r="1004" spans="6:22" ht="12.75">
      <c r="F1004" s="231"/>
      <c r="G1004" s="232"/>
      <c r="H1004" s="232"/>
      <c r="I1004" s="234"/>
      <c r="J1004" s="234"/>
      <c r="K1004" s="235"/>
      <c r="L1004" s="236"/>
      <c r="M1004" s="237"/>
      <c r="N1004" s="229"/>
      <c r="O1004" s="238"/>
      <c r="P1004" s="238"/>
      <c r="Q1004" s="237"/>
      <c r="R1004" s="239"/>
      <c r="S1004" s="139"/>
      <c r="T1004" s="1"/>
      <c r="U1004" s="247"/>
      <c r="V1004" s="247"/>
    </row>
    <row r="1005" spans="6:22" ht="12.75">
      <c r="F1005" s="231"/>
      <c r="G1005" s="232"/>
      <c r="H1005" s="232"/>
      <c r="I1005" s="242"/>
      <c r="J1005" s="242"/>
      <c r="K1005" s="235"/>
      <c r="L1005" s="236"/>
      <c r="M1005" s="237"/>
      <c r="N1005" s="229"/>
      <c r="O1005" s="238"/>
      <c r="P1005" s="238"/>
      <c r="Q1005" s="237"/>
      <c r="R1005" s="239"/>
      <c r="S1005" s="139"/>
      <c r="T1005" s="1"/>
      <c r="U1005" s="247"/>
      <c r="V1005" s="247"/>
    </row>
    <row r="1006" spans="6:22" ht="12.75">
      <c r="F1006" s="231"/>
      <c r="G1006" s="232"/>
      <c r="H1006" s="232"/>
      <c r="I1006" s="234"/>
      <c r="J1006" s="234"/>
      <c r="K1006" s="235"/>
      <c r="L1006" s="236"/>
      <c r="M1006" s="237"/>
      <c r="N1006" s="229"/>
      <c r="O1006" s="238"/>
      <c r="P1006" s="238"/>
      <c r="Q1006" s="237"/>
      <c r="R1006" s="239"/>
      <c r="S1006" s="139"/>
      <c r="T1006" s="1"/>
      <c r="U1006" s="247"/>
      <c r="V1006" s="247"/>
    </row>
    <row r="1007" spans="6:22" ht="12.75">
      <c r="F1007" s="231"/>
      <c r="G1007" s="232"/>
      <c r="H1007" s="232"/>
      <c r="I1007" s="234"/>
      <c r="J1007" s="234"/>
      <c r="K1007" s="235"/>
      <c r="L1007" s="236"/>
      <c r="M1007" s="237"/>
      <c r="N1007" s="229"/>
      <c r="O1007" s="238"/>
      <c r="P1007" s="238"/>
      <c r="Q1007" s="237"/>
      <c r="R1007" s="239"/>
      <c r="S1007" s="139"/>
      <c r="T1007" s="1"/>
      <c r="U1007" s="247"/>
      <c r="V1007" s="247"/>
    </row>
    <row r="1008" spans="7:22" ht="12.75">
      <c r="G1008" s="255"/>
      <c r="H1008" s="255"/>
      <c r="I1008" s="254"/>
      <c r="J1008" s="254"/>
      <c r="L1008" s="268"/>
      <c r="M1008" s="256"/>
      <c r="P1008" s="255"/>
      <c r="S1008" s="252"/>
      <c r="T1008" s="1"/>
      <c r="U1008" s="247"/>
      <c r="V1008" s="247"/>
    </row>
    <row r="1009" spans="6:22" ht="12.75">
      <c r="F1009" s="269"/>
      <c r="G1009" s="255"/>
      <c r="H1009" s="255"/>
      <c r="I1009" s="254"/>
      <c r="J1009" s="254"/>
      <c r="K1009" s="235"/>
      <c r="L1009" s="236"/>
      <c r="M1009" s="256"/>
      <c r="P1009" s="255"/>
      <c r="S1009" s="139"/>
      <c r="T1009" s="1"/>
      <c r="U1009" s="247"/>
      <c r="V1009" s="247"/>
    </row>
    <row r="1010" spans="7:22" ht="12.75">
      <c r="G1010" s="255"/>
      <c r="H1010" s="255"/>
      <c r="I1010" s="254"/>
      <c r="J1010" s="254"/>
      <c r="K1010" s="235"/>
      <c r="L1010" s="236"/>
      <c r="M1010" s="256"/>
      <c r="P1010" s="255"/>
      <c r="S1010" s="139"/>
      <c r="T1010" s="1"/>
      <c r="U1010" s="247"/>
      <c r="V1010" s="247"/>
    </row>
    <row r="1011" spans="7:22" ht="12.75">
      <c r="G1011" s="255"/>
      <c r="H1011" s="255"/>
      <c r="I1011" s="254"/>
      <c r="J1011" s="254"/>
      <c r="K1011" s="235"/>
      <c r="L1011" s="236"/>
      <c r="M1011" s="256"/>
      <c r="P1011" s="255"/>
      <c r="R1011" s="245"/>
      <c r="S1011" s="139"/>
      <c r="T1011" s="1"/>
      <c r="U1011" s="247"/>
      <c r="V1011" s="247"/>
    </row>
    <row r="1012" spans="7:22" ht="12.75">
      <c r="G1012" s="255"/>
      <c r="H1012" s="255"/>
      <c r="I1012" s="254"/>
      <c r="J1012" s="254"/>
      <c r="L1012" s="268"/>
      <c r="M1012" s="256"/>
      <c r="P1012" s="255"/>
      <c r="S1012" s="252"/>
      <c r="T1012" s="1"/>
      <c r="U1012" s="247"/>
      <c r="V1012" s="247"/>
    </row>
    <row r="1013" spans="7:22" ht="12.75">
      <c r="G1013" s="255"/>
      <c r="H1013" s="255"/>
      <c r="I1013" s="254"/>
      <c r="J1013" s="254"/>
      <c r="L1013" s="268"/>
      <c r="M1013" s="256"/>
      <c r="P1013" s="255"/>
      <c r="S1013" s="252"/>
      <c r="T1013" s="1"/>
      <c r="U1013" s="247"/>
      <c r="V1013" s="247"/>
    </row>
    <row r="1014" spans="7:22" ht="12.75">
      <c r="G1014" s="255"/>
      <c r="H1014" s="255"/>
      <c r="I1014" s="254"/>
      <c r="J1014" s="254"/>
      <c r="L1014" s="268"/>
      <c r="M1014" s="256"/>
      <c r="P1014" s="255"/>
      <c r="S1014" s="252"/>
      <c r="T1014" s="1"/>
      <c r="U1014" s="247"/>
      <c r="V1014" s="247"/>
    </row>
    <row r="1015" spans="7:22" ht="12.75">
      <c r="G1015" s="255"/>
      <c r="H1015" s="255"/>
      <c r="I1015" s="254"/>
      <c r="J1015" s="254"/>
      <c r="L1015" s="268"/>
      <c r="M1015" s="256"/>
      <c r="P1015" s="255"/>
      <c r="S1015" s="252"/>
      <c r="T1015" s="1"/>
      <c r="U1015" s="247"/>
      <c r="V1015" s="247"/>
    </row>
    <row r="1016" spans="7:22" ht="12.75">
      <c r="G1016" s="255"/>
      <c r="H1016" s="255"/>
      <c r="I1016" s="254"/>
      <c r="J1016" s="254"/>
      <c r="L1016" s="268"/>
      <c r="M1016" s="256"/>
      <c r="P1016" s="255"/>
      <c r="S1016" s="252"/>
      <c r="T1016" s="1"/>
      <c r="U1016" s="247"/>
      <c r="V1016" s="247"/>
    </row>
    <row r="1017" spans="7:22" ht="12.75">
      <c r="G1017" s="255"/>
      <c r="H1017" s="255"/>
      <c r="I1017" s="254"/>
      <c r="J1017" s="254"/>
      <c r="L1017" s="268"/>
      <c r="M1017" s="256"/>
      <c r="P1017" s="255"/>
      <c r="S1017" s="252"/>
      <c r="T1017" s="1"/>
      <c r="U1017" s="247"/>
      <c r="V1017" s="247"/>
    </row>
    <row r="1018" spans="7:22" ht="12.75">
      <c r="G1018" s="255"/>
      <c r="H1018" s="255"/>
      <c r="I1018" s="254"/>
      <c r="J1018" s="254"/>
      <c r="L1018" s="268"/>
      <c r="M1018" s="256"/>
      <c r="P1018" s="255"/>
      <c r="S1018" s="252"/>
      <c r="T1018" s="1"/>
      <c r="U1018" s="247"/>
      <c r="V1018" s="247"/>
    </row>
    <row r="1019" spans="7:22" ht="12.75">
      <c r="G1019" s="255"/>
      <c r="H1019" s="255"/>
      <c r="I1019" s="254"/>
      <c r="J1019" s="254"/>
      <c r="L1019" s="268"/>
      <c r="M1019" s="256"/>
      <c r="P1019" s="255"/>
      <c r="S1019" s="252"/>
      <c r="T1019" s="1"/>
      <c r="U1019" s="247"/>
      <c r="V1019" s="247"/>
    </row>
    <row r="1020" spans="7:22" ht="12.75">
      <c r="G1020" s="255"/>
      <c r="H1020" s="255"/>
      <c r="I1020" s="254"/>
      <c r="J1020" s="254"/>
      <c r="L1020" s="268"/>
      <c r="M1020" s="256"/>
      <c r="P1020" s="255"/>
      <c r="S1020" s="252"/>
      <c r="T1020" s="1"/>
      <c r="U1020" s="247"/>
      <c r="V1020" s="247"/>
    </row>
    <row r="1021" spans="7:22" ht="12.75">
      <c r="G1021" s="255"/>
      <c r="H1021" s="255"/>
      <c r="I1021" s="254"/>
      <c r="J1021" s="254"/>
      <c r="L1021" s="268"/>
      <c r="M1021" s="256"/>
      <c r="P1021" s="255"/>
      <c r="S1021" s="252"/>
      <c r="T1021" s="1"/>
      <c r="U1021" s="247"/>
      <c r="V1021" s="247"/>
    </row>
    <row r="1022" spans="7:22" ht="12.75">
      <c r="G1022" s="255"/>
      <c r="H1022" s="255"/>
      <c r="I1022" s="254"/>
      <c r="J1022" s="254"/>
      <c r="L1022" s="268"/>
      <c r="M1022" s="256"/>
      <c r="P1022" s="255"/>
      <c r="S1022" s="252"/>
      <c r="T1022" s="1"/>
      <c r="U1022" s="247"/>
      <c r="V1022" s="247"/>
    </row>
    <row r="1023" spans="7:22" ht="12.75">
      <c r="G1023" s="255"/>
      <c r="H1023" s="255"/>
      <c r="I1023" s="254"/>
      <c r="J1023" s="254"/>
      <c r="L1023" s="268"/>
      <c r="M1023" s="256"/>
      <c r="P1023" s="255"/>
      <c r="S1023" s="252"/>
      <c r="T1023" s="1"/>
      <c r="U1023" s="247"/>
      <c r="V1023" s="247"/>
    </row>
    <row r="1024" spans="7:22" ht="12.75">
      <c r="G1024" s="255"/>
      <c r="H1024" s="255"/>
      <c r="I1024" s="254"/>
      <c r="J1024" s="254"/>
      <c r="L1024" s="268"/>
      <c r="M1024" s="256"/>
      <c r="P1024" s="255"/>
      <c r="S1024" s="252"/>
      <c r="T1024" s="1"/>
      <c r="U1024" s="247"/>
      <c r="V1024" s="247"/>
    </row>
    <row r="1025" spans="7:22" ht="12.75">
      <c r="G1025" s="255"/>
      <c r="H1025" s="255"/>
      <c r="I1025" s="254"/>
      <c r="J1025" s="254"/>
      <c r="L1025" s="268"/>
      <c r="M1025" s="256"/>
      <c r="P1025" s="255"/>
      <c r="S1025" s="252"/>
      <c r="T1025" s="1"/>
      <c r="U1025" s="247"/>
      <c r="V1025" s="247"/>
    </row>
    <row r="1026" spans="7:22" ht="12.75">
      <c r="G1026" s="255"/>
      <c r="H1026" s="255"/>
      <c r="I1026" s="254"/>
      <c r="J1026" s="254"/>
      <c r="L1026" s="268"/>
      <c r="M1026" s="256"/>
      <c r="P1026" s="255"/>
      <c r="S1026" s="252"/>
      <c r="T1026" s="1"/>
      <c r="U1026" s="247"/>
      <c r="V1026" s="247"/>
    </row>
    <row r="1027" spans="7:22" ht="12.75">
      <c r="G1027" s="255"/>
      <c r="H1027" s="255"/>
      <c r="I1027" s="254"/>
      <c r="J1027" s="254"/>
      <c r="L1027" s="268"/>
      <c r="M1027" s="256"/>
      <c r="P1027" s="255"/>
      <c r="S1027" s="252"/>
      <c r="T1027" s="1"/>
      <c r="U1027" s="247"/>
      <c r="V1027" s="247"/>
    </row>
    <row r="1028" spans="7:22" ht="12.75">
      <c r="G1028" s="255"/>
      <c r="H1028" s="255"/>
      <c r="I1028" s="254"/>
      <c r="J1028" s="254"/>
      <c r="L1028" s="268"/>
      <c r="M1028" s="256"/>
      <c r="P1028" s="255"/>
      <c r="S1028" s="252"/>
      <c r="T1028" s="1"/>
      <c r="U1028" s="247"/>
      <c r="V1028" s="247"/>
    </row>
    <row r="1029" spans="7:22" ht="12.75">
      <c r="G1029" s="255"/>
      <c r="H1029" s="255"/>
      <c r="I1029" s="254"/>
      <c r="J1029" s="254"/>
      <c r="L1029" s="268"/>
      <c r="M1029" s="256"/>
      <c r="P1029" s="255"/>
      <c r="S1029" s="252"/>
      <c r="T1029" s="1"/>
      <c r="U1029" s="247"/>
      <c r="V1029" s="247"/>
    </row>
    <row r="1030" spans="7:22" ht="12.75">
      <c r="G1030" s="255"/>
      <c r="H1030" s="255"/>
      <c r="I1030" s="254"/>
      <c r="J1030" s="254"/>
      <c r="L1030" s="268"/>
      <c r="M1030" s="256"/>
      <c r="P1030" s="255"/>
      <c r="S1030" s="252"/>
      <c r="T1030" s="1"/>
      <c r="U1030" s="247"/>
      <c r="V1030" s="247"/>
    </row>
    <row r="1031" spans="7:22" ht="12.75">
      <c r="G1031" s="255"/>
      <c r="H1031" s="255"/>
      <c r="I1031" s="254"/>
      <c r="J1031" s="254"/>
      <c r="L1031" s="268"/>
      <c r="M1031" s="256"/>
      <c r="P1031" s="255"/>
      <c r="S1031" s="252"/>
      <c r="T1031" s="1"/>
      <c r="U1031" s="247"/>
      <c r="V1031" s="247"/>
    </row>
    <row r="1032" spans="7:22" ht="12.75">
      <c r="G1032" s="255"/>
      <c r="H1032" s="255"/>
      <c r="I1032" s="254"/>
      <c r="J1032" s="254"/>
      <c r="L1032" s="268"/>
      <c r="M1032" s="256"/>
      <c r="P1032" s="255"/>
      <c r="S1032" s="252"/>
      <c r="T1032" s="1"/>
      <c r="U1032" s="247"/>
      <c r="V1032" s="247"/>
    </row>
    <row r="1033" spans="7:22" ht="12.75">
      <c r="G1033" s="255"/>
      <c r="H1033" s="255"/>
      <c r="I1033" s="254"/>
      <c r="J1033" s="254"/>
      <c r="L1033" s="268"/>
      <c r="M1033" s="256"/>
      <c r="P1033" s="255"/>
      <c r="S1033" s="252"/>
      <c r="T1033" s="1"/>
      <c r="U1033" s="247"/>
      <c r="V1033" s="247"/>
    </row>
    <row r="1034" spans="7:22" ht="12.75">
      <c r="G1034" s="255"/>
      <c r="H1034" s="255"/>
      <c r="I1034" s="254"/>
      <c r="J1034" s="254"/>
      <c r="L1034" s="268"/>
      <c r="M1034" s="256"/>
      <c r="P1034" s="255"/>
      <c r="S1034" s="252"/>
      <c r="T1034" s="1"/>
      <c r="U1034" s="247"/>
      <c r="V1034" s="247"/>
    </row>
    <row r="1035" spans="7:22" ht="12.75">
      <c r="G1035" s="255"/>
      <c r="H1035" s="255"/>
      <c r="I1035" s="254"/>
      <c r="J1035" s="254"/>
      <c r="L1035" s="268"/>
      <c r="M1035" s="256"/>
      <c r="P1035" s="255"/>
      <c r="S1035" s="252"/>
      <c r="T1035" s="1"/>
      <c r="U1035" s="247"/>
      <c r="V1035" s="247"/>
    </row>
    <row r="1036" spans="7:22" ht="12.75">
      <c r="G1036" s="255"/>
      <c r="H1036" s="255"/>
      <c r="I1036" s="254"/>
      <c r="J1036" s="254"/>
      <c r="L1036" s="268"/>
      <c r="M1036" s="256"/>
      <c r="P1036" s="255"/>
      <c r="S1036" s="252"/>
      <c r="T1036" s="1"/>
      <c r="U1036" s="247"/>
      <c r="V1036" s="247"/>
    </row>
    <row r="1037" spans="7:22" ht="12.75">
      <c r="G1037" s="255"/>
      <c r="H1037" s="255"/>
      <c r="I1037" s="254"/>
      <c r="J1037" s="254"/>
      <c r="L1037" s="268"/>
      <c r="M1037" s="256"/>
      <c r="P1037" s="255"/>
      <c r="S1037" s="252"/>
      <c r="T1037" s="1"/>
      <c r="U1037" s="247"/>
      <c r="V1037" s="247"/>
    </row>
    <row r="1038" spans="7:22" ht="12.75">
      <c r="G1038" s="255"/>
      <c r="H1038" s="255"/>
      <c r="I1038" s="254"/>
      <c r="J1038" s="254"/>
      <c r="L1038" s="268"/>
      <c r="M1038" s="256"/>
      <c r="P1038" s="255"/>
      <c r="S1038" s="252"/>
      <c r="T1038" s="1"/>
      <c r="U1038" s="247"/>
      <c r="V1038" s="247"/>
    </row>
    <row r="1039" spans="7:22" ht="12.75">
      <c r="G1039" s="255"/>
      <c r="H1039" s="255"/>
      <c r="I1039" s="254"/>
      <c r="J1039" s="254"/>
      <c r="L1039" s="268"/>
      <c r="M1039" s="256"/>
      <c r="P1039" s="255"/>
      <c r="S1039" s="252"/>
      <c r="T1039" s="1"/>
      <c r="U1039" s="247"/>
      <c r="V1039" s="247"/>
    </row>
    <row r="2124" ht="12.75"/>
    <row r="2125" ht="12.75"/>
    <row r="2126" ht="12.75"/>
    <row r="2127" ht="12.75"/>
  </sheetData>
  <sheetProtection/>
  <mergeCells count="25">
    <mergeCell ref="R8:R11"/>
    <mergeCell ref="S8:S11"/>
    <mergeCell ref="T8:T11"/>
    <mergeCell ref="U8:U11"/>
    <mergeCell ref="V8:V11"/>
    <mergeCell ref="M8:M11"/>
    <mergeCell ref="N8:N11"/>
    <mergeCell ref="O8:O11"/>
    <mergeCell ref="P8:P11"/>
    <mergeCell ref="Q8:Q11"/>
    <mergeCell ref="A9:A11"/>
    <mergeCell ref="B9:B11"/>
    <mergeCell ref="G9:G11"/>
    <mergeCell ref="H9:H11"/>
    <mergeCell ref="L8:L11"/>
    <mergeCell ref="F2:T3"/>
    <mergeCell ref="A8:B8"/>
    <mergeCell ref="C8:C11"/>
    <mergeCell ref="D8:D11"/>
    <mergeCell ref="E8:E11"/>
    <mergeCell ref="F8:F11"/>
    <mergeCell ref="G8:H8"/>
    <mergeCell ref="I8:I11"/>
    <mergeCell ref="J8:J11"/>
    <mergeCell ref="K8:K11"/>
  </mergeCells>
  <printOptions horizontalCentered="1"/>
  <pageMargins left="0" right="0" top="0.25" bottom="0.17" header="0.11811023622047245" footer="0.15748031496062992"/>
  <pageSetup fitToHeight="14" horizontalDpi="600" verticalDpi="600" orientation="landscape" paperSize="9" scale="52" r:id="rId3"/>
  <headerFooter alignWithMargins="0">
    <oddHeader>&amp;R&amp;P</oddHeader>
  </headerFooter>
  <rowBreaks count="1" manualBreakCount="1">
    <brk id="955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2016-09-20T12:27:39Z</cp:lastPrinted>
  <dcterms:created xsi:type="dcterms:W3CDTF">2016-09-09T17:45:18Z</dcterms:created>
  <dcterms:modified xsi:type="dcterms:W3CDTF">2016-09-29T13:42:36Z</dcterms:modified>
  <cp:category/>
  <cp:version/>
  <cp:contentType/>
  <cp:contentStatus/>
</cp:coreProperties>
</file>